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65281" windowWidth="9720" windowHeight="7320" activeTab="8"/>
  </bookViews>
  <sheets>
    <sheet name="Пр_1" sheetId="1" r:id="rId1"/>
    <sheet name="Пр_2" sheetId="2" r:id="rId2"/>
    <sheet name="Пр_3" sheetId="3" r:id="rId3"/>
    <sheet name="Пр_4" sheetId="4" r:id="rId4"/>
    <sheet name="Пр_5" sheetId="5" r:id="rId5"/>
    <sheet name="Пр_6" sheetId="6" r:id="rId6"/>
    <sheet name="Пр_7" sheetId="7" r:id="rId7"/>
    <sheet name="Пр_8" sheetId="8" r:id="rId8"/>
    <sheet name="Пр_9" sheetId="9" r:id="rId9"/>
  </sheets>
  <definedNames>
    <definedName name="_ftn1" localSheetId="5">'Пр_6'!$A$25</definedName>
    <definedName name="_ftnref1" localSheetId="5">'Пр_6'!$C$5</definedName>
    <definedName name="_xlnm.Print_Area" localSheetId="0">'Пр_1'!$A$1:$J$18</definedName>
    <definedName name="_xlnm.Print_Area" localSheetId="1">'Пр_2'!$A$1:$J$17</definedName>
    <definedName name="_xlnm.Print_Area" localSheetId="3">'Пр_4'!$A$1:$D$43</definedName>
  </definedNames>
  <calcPr fullCalcOnLoad="1"/>
</workbook>
</file>

<file path=xl/sharedStrings.xml><?xml version="1.0" encoding="utf-8"?>
<sst xmlns="http://schemas.openxmlformats.org/spreadsheetml/2006/main" count="336" uniqueCount="233">
  <si>
    <t>Наименование доходов</t>
  </si>
  <si>
    <t>Утверждено решением Совета депутатов ЗАТО Александровск (первоначальный)</t>
  </si>
  <si>
    <t xml:space="preserve">Оценка поступлений в местный бюджет </t>
  </si>
  <si>
    <t>Прогноз поступлений</t>
  </si>
  <si>
    <t>Удельный вес поступлений</t>
  </si>
  <si>
    <t>(руб.)</t>
  </si>
  <si>
    <t>(%)</t>
  </si>
  <si>
    <t>Налоговые доходы - всего</t>
  </si>
  <si>
    <t>в том числе</t>
  </si>
  <si>
    <t>- налог на доходы физических лиц</t>
  </si>
  <si>
    <t>- налог, взимаемый в связи с применением упрощенной системы налогобложения</t>
  </si>
  <si>
    <t>- единый налог на вмененный доход</t>
  </si>
  <si>
    <t>-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</si>
  <si>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- земельный налог</t>
  </si>
  <si>
    <t>- государственная пошлина</t>
  </si>
  <si>
    <t>- акцизы по подакцизным товарам (продукции), производимым на территории Российской Федерации</t>
  </si>
  <si>
    <t>Наименование</t>
  </si>
  <si>
    <t>2019 год</t>
  </si>
  <si>
    <t>- налог, взимаемый в связи с применением патентной системы налогообложения, зачисляемый в бюджеты городских округов</t>
  </si>
  <si>
    <t>Наименование муниципального образования Мурманской области</t>
  </si>
  <si>
    <t>Нормативы отчислений</t>
  </si>
  <si>
    <t>г. Мурманск</t>
  </si>
  <si>
    <t xml:space="preserve"> г. Апатиты </t>
  </si>
  <si>
    <t xml:space="preserve">г. Кировск </t>
  </si>
  <si>
    <t>Ковдорский район</t>
  </si>
  <si>
    <t xml:space="preserve">г. Мончегорск </t>
  </si>
  <si>
    <t xml:space="preserve">г. Оленегорск </t>
  </si>
  <si>
    <t xml:space="preserve">г. Полярные Зори </t>
  </si>
  <si>
    <t xml:space="preserve">ЗАТО г. Североморск </t>
  </si>
  <si>
    <t xml:space="preserve">ЗАТО Александровск </t>
  </si>
  <si>
    <t xml:space="preserve">ЗАТО г. Островной </t>
  </si>
  <si>
    <t xml:space="preserve">ЗАТО г. Заозерск </t>
  </si>
  <si>
    <t xml:space="preserve">ЗАТО пос. Видяево </t>
  </si>
  <si>
    <t>Кандалакшский район</t>
  </si>
  <si>
    <t>г.п. Кандалакша</t>
  </si>
  <si>
    <t>г.п. Зеленоборский</t>
  </si>
  <si>
    <t>Ловозерский район</t>
  </si>
  <si>
    <t xml:space="preserve">г.п.Ревда </t>
  </si>
  <si>
    <t>Печенгский район</t>
  </si>
  <si>
    <t>г.п. Никель</t>
  </si>
  <si>
    <t>г.п. Заполярный</t>
  </si>
  <si>
    <t>г.п. Печенга</t>
  </si>
  <si>
    <t>г.п. Умба</t>
  </si>
  <si>
    <t>Кольский район</t>
  </si>
  <si>
    <t xml:space="preserve"> г.п. Кола</t>
  </si>
  <si>
    <t>г.п. Молочный</t>
  </si>
  <si>
    <t>г.п.  Мурмаши</t>
  </si>
  <si>
    <t>г.п. Туманный</t>
  </si>
  <si>
    <t>г.п. Верхнетуломский</t>
  </si>
  <si>
    <t>г.п. Кильдинстрой</t>
  </si>
  <si>
    <t>ВСЕГО</t>
  </si>
  <si>
    <t>Сумма акцизов (согласно проекту областного бюджета) (90%)</t>
  </si>
  <si>
    <t xml:space="preserve">Общая сумма поступления от уплату акцизов по Мурманской области (100%) </t>
  </si>
  <si>
    <t>Общая сумма отчислений в местные бюджеты по дифференцированным нормативам (10%)</t>
  </si>
  <si>
    <t>2020 год</t>
  </si>
  <si>
    <t>сумма 2020 год</t>
  </si>
  <si>
    <t xml:space="preserve">Плановый показатель поступлений от уплаты акцизов на ЗАТО Александровск </t>
  </si>
  <si>
    <t>Дифференцированный норматив отчислений в местный бюджет ЗАТО Александровск</t>
  </si>
  <si>
    <t>Приложение №2</t>
  </si>
  <si>
    <t>Приложение №3</t>
  </si>
  <si>
    <t>Приложение №4</t>
  </si>
  <si>
    <t>2021 год</t>
  </si>
  <si>
    <t>( в процентах)</t>
  </si>
  <si>
    <t>сумма 2021 год</t>
  </si>
  <si>
    <t>В том числе:</t>
  </si>
  <si>
    <t xml:space="preserve">Приложение № 1 </t>
  </si>
  <si>
    <t>Налоговые и неналоговые доходы - всего</t>
  </si>
  <si>
    <t>налоговые доходы</t>
  </si>
  <si>
    <t>неналоговые доходы</t>
  </si>
  <si>
    <t>Безвозмездные поступления, всего</t>
  </si>
  <si>
    <t>из них:</t>
  </si>
  <si>
    <t>безвозмездные поступления от других бюджетов бюджетной системы</t>
  </si>
  <si>
    <t>прочие безвозмездные поступления</t>
  </si>
  <si>
    <t>ВСЕГО ДОХОДОВ</t>
  </si>
  <si>
    <t>Рз</t>
  </si>
  <si>
    <t>проект</t>
  </si>
  <si>
    <t>% к преды-дущему году</t>
  </si>
  <si>
    <t>% к предыду-щему году</t>
  </si>
  <si>
    <t>Всего расходов</t>
  </si>
  <si>
    <t>Условно утвержденные расходы</t>
  </si>
  <si>
    <t>Всего расходов (без учета условно утвержденных расходов)</t>
  </si>
  <si>
    <t>в том числе: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</si>
  <si>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</si>
  <si>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</si>
  <si>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</si>
  <si>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</si>
  <si>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</si>
  <si>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</si>
  <si>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</si>
  <si>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</si>
  <si>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</si>
  <si>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</si>
  <si>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0100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</si>
  <si>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</si>
  <si>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</si>
  <si>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</si>
  <si>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</si>
  <si>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</si>
  <si>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</si>
  <si>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</si>
  <si>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</si>
  <si>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</si>
  <si>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</si>
  <si>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Всего расходов, в том числе:</t>
  </si>
  <si>
    <t>Общегосударственные вопросы</t>
  </si>
  <si>
    <t>Приложение № 6</t>
  </si>
  <si>
    <t>рублей</t>
  </si>
  <si>
    <t>Управление финансов администрации ЗАТО Александровск</t>
  </si>
  <si>
    <t>Управление образования  администрации ЗАТО Александровск</t>
  </si>
  <si>
    <t>Управление культуры, спорта и молодежной политики администрации ЗАТО Александровск</t>
  </si>
  <si>
    <t>Приложение № 7</t>
  </si>
  <si>
    <t>Приложение № 8</t>
  </si>
  <si>
    <t>Наименование кредитного договора</t>
  </si>
  <si>
    <t>Дата и №</t>
  </si>
  <si>
    <t>Сумма кредита</t>
  </si>
  <si>
    <t>Годовая процентная ставка</t>
  </si>
  <si>
    <t>Кол-во календарных дней в году</t>
  </si>
  <si>
    <t>ИТОГО:</t>
  </si>
  <si>
    <t>№</t>
  </si>
  <si>
    <t>Наименование показателя</t>
  </si>
  <si>
    <t>Буквенное обозначение</t>
  </si>
  <si>
    <t>Формула расчета</t>
  </si>
  <si>
    <t>Значение на соответствующий финансовый год</t>
  </si>
  <si>
    <t>1.</t>
  </si>
  <si>
    <t>Кредиты кредитных организаций в валюте Российской Федерации</t>
  </si>
  <si>
    <t>Кк</t>
  </si>
  <si>
    <t>Кк = Кко - Ккр</t>
  </si>
  <si>
    <t>1.1.</t>
  </si>
  <si>
    <t>Получение кредитов от кредитных организаций бюджетами городских округов в валюте Российской Федерации</t>
  </si>
  <si>
    <t>Кко</t>
  </si>
  <si>
    <t>Кко = З - Д(П) - И</t>
  </si>
  <si>
    <t>1.1.1.</t>
  </si>
  <si>
    <t xml:space="preserve">Долговые обязательства ЗАТО Александровск по заимствованиям со сроком исполнения в соответствующем финансовом году </t>
  </si>
  <si>
    <t>З</t>
  </si>
  <si>
    <t>1.1.2.</t>
  </si>
  <si>
    <t xml:space="preserve">Дефицит (профицит) местного бюджета в соответствующем финансовом году </t>
  </si>
  <si>
    <t>Д(П)</t>
  </si>
  <si>
    <t>1.1.3.</t>
  </si>
  <si>
    <t>Источники внутреннего финансирования дефицита, не связанные с получением кредитов от кредитных организаций (прогнозируемый остаток на счете на 01 января года соответствующего финансового года)</t>
  </si>
  <si>
    <t>И</t>
  </si>
  <si>
    <t>1.2.</t>
  </si>
  <si>
    <t>Погашение бюджетами городских округов кредитов от кредитных организаций в валюте Российской Федерации</t>
  </si>
  <si>
    <t>Ккр</t>
  </si>
  <si>
    <t>Ккр = Ккр</t>
  </si>
  <si>
    <t>1.2.1.</t>
  </si>
  <si>
    <t>План по возврату местным бюджетом ЗАТО Александровск коммерческих кредитов в соответствующем финансовом году (на основании действующих и планируемых договоров (соглашений)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</si>
  <si>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</si>
  <si>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</si>
  <si>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Бк</t>
  </si>
  <si>
    <t>Бк = Кб - Кбр</t>
  </si>
  <si>
    <t>2.1.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</si>
  <si>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</si>
  <si>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Кб</t>
  </si>
  <si>
    <t>Кб = Бкр</t>
  </si>
  <si>
    <t>2.1.1.</t>
  </si>
  <si>
    <t>Полученные бюджетные кредиты в соответствующем финансовом году</t>
  </si>
  <si>
    <t>Бкр</t>
  </si>
  <si>
    <t>2.2.</t>
  </si>
  <si>
    <t>Погашение бюджетных кредитов от других бюджетов бюджетной системы Российской Федерации в валюте Российской Федерации</t>
  </si>
  <si>
    <t>Кбр</t>
  </si>
  <si>
    <t>Кбр = Кбр</t>
  </si>
  <si>
    <t>2.2.1.</t>
  </si>
  <si>
    <t>План по возврату бюджетам бюджетно системы Российской Федерации бюджетных кредитов в соответствующем финансовом году (на основании графика действующих  договоров (соглашений)</t>
  </si>
  <si>
    <t>3.</t>
  </si>
  <si>
    <t>Изменение остатков средств на счетах по учету средств бюджетов</t>
  </si>
  <si>
    <t>ИОС</t>
  </si>
  <si>
    <t>ИОС = УВО + УМО</t>
  </si>
  <si>
    <t>3.1.</t>
  </si>
  <si>
    <t>Увеличение остатков средств бюджетов</t>
  </si>
  <si>
    <t>УВО</t>
  </si>
  <si>
    <t>УВО = (-Дi) + (-Кко) + (-Кб)</t>
  </si>
  <si>
    <t>3.1.1.</t>
  </si>
  <si>
    <t>Прогноз поступлений доходов местного бюджета на соответствующий финансовый год</t>
  </si>
  <si>
    <t>Дi</t>
  </si>
  <si>
    <t>3.1.2.</t>
  </si>
  <si>
    <t>3.1.3.</t>
  </si>
  <si>
    <t>3.2.</t>
  </si>
  <si>
    <t>Уменьшение остатков средств бюджетов</t>
  </si>
  <si>
    <t>УМО</t>
  </si>
  <si>
    <t>УВО = Рi + Ккр + Кбр</t>
  </si>
  <si>
    <t>3.2.1.</t>
  </si>
  <si>
    <t>Прогноз кассовых выплат из местного бюджета в соответствующем финансовом году</t>
  </si>
  <si>
    <t>Рi</t>
  </si>
  <si>
    <t>3.2.2.</t>
  </si>
  <si>
    <t>3.2.3.</t>
  </si>
  <si>
    <t>ИТОГО источников финансирования дефицита местного бюджета:</t>
  </si>
  <si>
    <t>Расходы местного бюджета (без учета целевых средств из областного бюджета)</t>
  </si>
  <si>
    <t>Структура расходов местного бюджета ЗАТО Александровск на 2020 год и плановый период 2021 и 2022 годов</t>
  </si>
  <si>
    <t>2019 год *</t>
  </si>
  <si>
    <t>* - ожидаемое исполнение 2019 года</t>
  </si>
  <si>
    <t>руб.коп.</t>
  </si>
  <si>
    <t>2022 год</t>
  </si>
  <si>
    <t>Анализ расходов на содержание исполнительных органов местного самоуправления ЗАТО Александровск на 2020 год и плановый период 2021 и 2022 годов (без учёта переданных полномочий)</t>
  </si>
  <si>
    <t>Администрация ЗАТО Александровск</t>
  </si>
  <si>
    <t>Кол-во дней пользования кредитом в течение финансового года</t>
  </si>
  <si>
    <t xml:space="preserve">муниципальный контракт на предоставление услуг по предоставлению денежных средств (кредит) на финансирование дефицита бюджета ЗАТО Александровск </t>
  </si>
  <si>
    <t>от 17.06.2019 №  3511203237719000001</t>
  </si>
  <si>
    <t>Потребность в привлечении кредита на дефицит в 2020 году</t>
  </si>
  <si>
    <t>с 01.10.2020</t>
  </si>
  <si>
    <t>Потребность в привлечении кредита на дефицит в 2021 году</t>
  </si>
  <si>
    <t>с 01.01.2021</t>
  </si>
  <si>
    <t>Потребность в привлечении кредита на дефицит в 2022 году</t>
  </si>
  <si>
    <t>с 01.01.2022</t>
  </si>
  <si>
    <t>бюджетный кредит</t>
  </si>
  <si>
    <t>от 14.11.2016 № 12-16</t>
  </si>
  <si>
    <t>от 20.11.2017 № 08-17</t>
  </si>
  <si>
    <t>Расчет потребности в бюджетных ассигнованиях на обслуживание муниципального долга в 2020-2022 годах</t>
  </si>
  <si>
    <t>Объем расходов на обслуживание муниципального долга</t>
  </si>
  <si>
    <t>Приложение № 9</t>
  </si>
  <si>
    <t>Прогноз поступлений по источникам финансирования дефицита местного бюджета ЗАТО Александровск на 2020 год и на плановый период 2021 и 2022 годов,  в соответствии с Методикой, утвержденной приказом Управления финансов администрации ЗАТО Александровск от 22.06.2016 № 42</t>
  </si>
  <si>
    <t>Структура доходов местного бюджета ЗАТО Александровск в 2019 - 2022 годах</t>
  </si>
  <si>
    <t>Структура налоговых доходов местного бюджета ЗАТО Александровск в 2019-2022 годах.</t>
  </si>
  <si>
    <t>Дифференцированные нормативы отчислений в местные бюджеты от  налоговых доходов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консолидированный бюджет Мурманской области, за исключением сумм указанных доходов, поступающих в бюджет Мурманской области в целях реализации национального проекта "Безопасные и качественные автомобильные дороги"*</t>
  </si>
  <si>
    <t xml:space="preserve">* по кодам доходов 100 1 03 02231 01 0000 110, 100 1 03 02241 01 0000 110, 100 1 03 02251 01 0000 110, 100 1 03 02261 01 0000 110 </t>
  </si>
  <si>
    <t>Расчет поступлений в бюджет ЗАТО Александровск  от уплаты акцизов  на 2020 год и плановый период 2021 и 2022 годов</t>
  </si>
  <si>
    <t>сумма 2022 год</t>
  </si>
  <si>
    <t>Акцизы на дизельное топливо  000 1 03 02231 01 0000 110</t>
  </si>
  <si>
    <t>Акцизы на моторные масла  000 1 03 02241 01 0000 110</t>
  </si>
  <si>
    <t>Акцизы на автомобильный бензин  000 1 03 02251 01 0000 110</t>
  </si>
  <si>
    <t>Приложение № 5</t>
  </si>
  <si>
    <t>Расчет поступлений в бюджет ЗАТО Александровск платы за негативное воздействие на окружающую среду  на 2020 год и плановый период 2021 и 2022 годов</t>
  </si>
  <si>
    <t>КБК</t>
  </si>
  <si>
    <t xml:space="preserve">Наименование показателя  </t>
  </si>
  <si>
    <t>по данным администратора (60%)</t>
  </si>
  <si>
    <t>согласно изменению законодательства (100%)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</si>
  <si>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</si>
  <si>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</si>
  <si>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</si>
  <si>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сбросы загрязняющих веществ в водные объекты</t>
  </si>
  <si>
    <t>048 1 12 01041 01 0000 120</t>
  </si>
  <si>
    <t>Плата за размещение отходов производства</t>
  </si>
  <si>
    <t>048 1 12 01042 01 0000 120</t>
  </si>
  <si>
    <t>Плата за размещение твердых коммунальных отходов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</si>
</sst>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0.000"/>
    <numFmt numFmtId="196" formatCode="0.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#,##0.0000"/>
    <numFmt numFmtId="203" formatCode="#,##0.00000"/>
    <numFmt numFmtId="204" formatCode="0.00000000%"/>
    <numFmt numFmtId="205" formatCode="0.000%"/>
    <numFmt numFmtId="206" formatCode="_-* #,##0.00\ &quot;р.&quot;_-;\-* #,##0.00\ &quot;р.&quot;_-;_-* &quot;-&quot;??\ &quot;р.&quot;_-;_-@_-"/>
    <numFmt numFmtId="207" formatCode="_(&quot;р.&quot;* #,##0.00_);_(&quot;р.&quot;* \(#,##0.00\);_(&quot;р.&quot;* &quot;-&quot;??_);_(@_)"/>
    <numFmt numFmtId="208" formatCode="0.0000000"/>
    <numFmt numFmtId="209" formatCode="#,##0.000000"/>
    <numFmt numFmtId="210" formatCode="0.000000%"/>
  </numFmts>
  <fonts count="7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10"/>
      <color indexed="8"/>
      <name val="Times New Roman"/>
      <family val="1"/>
    </font>
    <font>
      <i/>
      <sz val="10"/>
      <name val="Arial"/>
      <family val="2"/>
    </font>
    <font>
      <b/>
      <i/>
      <u val="single"/>
      <sz val="10"/>
      <color indexed="8"/>
      <name val="Times New Roman"/>
      <family val="1"/>
    </font>
    <font>
      <b/>
      <i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3" fillId="0" borderId="0">
      <alignment/>
      <protection/>
    </xf>
    <xf numFmtId="0" fontId="51" fillId="20" borderId="0">
      <alignment/>
      <protection/>
    </xf>
    <xf numFmtId="0" fontId="51" fillId="0" borderId="0">
      <alignment wrapText="1"/>
      <protection/>
    </xf>
    <xf numFmtId="0" fontId="51" fillId="0" borderId="0">
      <alignment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0" fontId="51" fillId="20" borderId="0">
      <alignment shrinkToFit="1"/>
      <protection/>
    </xf>
    <xf numFmtId="0" fontId="53" fillId="0" borderId="3">
      <alignment horizontal="right"/>
      <protection/>
    </xf>
    <xf numFmtId="4" fontId="53" fillId="21" borderId="3">
      <alignment horizontal="right" vertical="top" shrinkToFit="1"/>
      <protection/>
    </xf>
    <xf numFmtId="4" fontId="53" fillId="22" borderId="3">
      <alignment horizontal="right" vertical="top" shrinkToFit="1"/>
      <protection/>
    </xf>
    <xf numFmtId="0" fontId="51" fillId="0" borderId="0">
      <alignment horizontal="left" wrapText="1"/>
      <protection/>
    </xf>
    <xf numFmtId="0" fontId="53" fillId="0" borderId="2">
      <alignment vertical="top" wrapText="1"/>
      <protection/>
    </xf>
    <xf numFmtId="49" fontId="51" fillId="0" borderId="2">
      <alignment horizontal="center" vertical="top" shrinkToFit="1"/>
      <protection/>
    </xf>
    <xf numFmtId="4" fontId="53" fillId="21" borderId="2">
      <alignment horizontal="right" vertical="top" shrinkToFit="1"/>
      <protection/>
    </xf>
    <xf numFmtId="4" fontId="53" fillId="22" borderId="2">
      <alignment horizontal="right" vertical="top" shrinkToFit="1"/>
      <protection/>
    </xf>
    <xf numFmtId="0" fontId="51" fillId="20" borderId="4">
      <alignment/>
      <protection/>
    </xf>
    <xf numFmtId="0" fontId="51" fillId="20" borderId="4">
      <alignment horizontal="center"/>
      <protection/>
    </xf>
    <xf numFmtId="4" fontId="53" fillId="0" borderId="2">
      <alignment horizontal="right" vertical="top" shrinkToFit="1"/>
      <protection/>
    </xf>
    <xf numFmtId="49" fontId="51" fillId="0" borderId="2">
      <alignment horizontal="left" vertical="top" wrapText="1" indent="2"/>
      <protection/>
    </xf>
    <xf numFmtId="4" fontId="51" fillId="0" borderId="2">
      <alignment horizontal="right" vertical="top" shrinkToFit="1"/>
      <protection/>
    </xf>
    <xf numFmtId="0" fontId="51" fillId="20" borderId="4">
      <alignment shrinkToFit="1"/>
      <protection/>
    </xf>
    <xf numFmtId="0" fontId="51" fillId="20" borderId="3">
      <alignment horizontal="center"/>
      <protection/>
    </xf>
    <xf numFmtId="4" fontId="54" fillId="22" borderId="2">
      <alignment horizontal="right" vertical="top" shrinkToFit="1"/>
      <protection/>
    </xf>
    <xf numFmtId="4" fontId="54" fillId="22" borderId="2">
      <alignment horizontal="right" vertical="top" shrinkToFit="1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5" applyNumberFormat="0" applyAlignment="0" applyProtection="0"/>
    <xf numFmtId="0" fontId="56" fillId="30" borderId="6" applyNumberFormat="0" applyAlignment="0" applyProtection="0"/>
    <xf numFmtId="0" fontId="57" fillId="30" borderId="5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1" borderId="11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66" fillId="33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68" fillId="0" borderId="13" applyNumberFormat="0" applyFill="0" applyAlignment="0" applyProtection="0"/>
    <xf numFmtId="0" fontId="17" fillId="0" borderId="0">
      <alignment/>
      <protection/>
    </xf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5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188" fontId="1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/>
    </xf>
    <xf numFmtId="188" fontId="3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/>
    </xf>
    <xf numFmtId="202" fontId="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188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8" fontId="3" fillId="36" borderId="14" xfId="0" applyNumberFormat="1" applyFont="1" applyFill="1" applyBorder="1" applyAlignment="1">
      <alignment horizontal="center" vertical="center"/>
    </xf>
    <xf numFmtId="188" fontId="1" fillId="36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10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4" fontId="10" fillId="0" borderId="14" xfId="0" applyNumberFormat="1" applyFont="1" applyBorder="1" applyAlignment="1">
      <alignment horizontal="right" vertical="top" wrapText="1"/>
    </xf>
    <xf numFmtId="4" fontId="11" fillId="0" borderId="14" xfId="0" applyNumberFormat="1" applyFont="1" applyBorder="1" applyAlignment="1">
      <alignment horizontal="right" vertical="top" wrapText="1"/>
    </xf>
    <xf numFmtId="4" fontId="18" fillId="0" borderId="14" xfId="0" applyNumberFormat="1" applyFont="1" applyBorder="1" applyAlignment="1">
      <alignment horizontal="right" vertical="top" wrapText="1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right" vertical="top" wrapText="1"/>
    </xf>
    <xf numFmtId="0" fontId="2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92">
      <alignment/>
      <protection/>
    </xf>
    <xf numFmtId="0" fontId="5" fillId="0" borderId="0" xfId="92" applyFont="1" applyAlignment="1">
      <alignment vertical="center" wrapText="1"/>
      <protection/>
    </xf>
    <xf numFmtId="0" fontId="11" fillId="0" borderId="14" xfId="92" applyFont="1" applyBorder="1" applyAlignment="1">
      <alignment horizontal="left" vertical="center" wrapText="1"/>
      <protection/>
    </xf>
    <xf numFmtId="0" fontId="11" fillId="0" borderId="14" xfId="92" applyFont="1" applyBorder="1" applyAlignment="1">
      <alignment horizontal="center" vertical="center" wrapText="1"/>
      <protection/>
    </xf>
    <xf numFmtId="4" fontId="11" fillId="0" borderId="14" xfId="92" applyNumberFormat="1" applyFont="1" applyBorder="1" applyAlignment="1">
      <alignment horizontal="center" vertical="center" wrapText="1"/>
      <protection/>
    </xf>
    <xf numFmtId="0" fontId="10" fillId="0" borderId="14" xfId="92" applyFont="1" applyBorder="1" applyAlignment="1">
      <alignment horizontal="left" vertical="center" wrapText="1"/>
      <protection/>
    </xf>
    <xf numFmtId="4" fontId="10" fillId="0" borderId="14" xfId="92" applyNumberFormat="1" applyFont="1" applyBorder="1" applyAlignment="1">
      <alignment horizontal="center" vertical="center" wrapText="1"/>
      <protection/>
    </xf>
    <xf numFmtId="3" fontId="0" fillId="0" borderId="0" xfId="92" applyNumberFormat="1">
      <alignment/>
      <protection/>
    </xf>
    <xf numFmtId="0" fontId="6" fillId="0" borderId="0" xfId="75" applyFont="1" applyAlignment="1" applyProtection="1">
      <alignment/>
      <protection/>
    </xf>
    <xf numFmtId="4" fontId="4" fillId="0" borderId="0" xfId="92" applyNumberFormat="1" applyFont="1" applyAlignment="1">
      <alignment horizontal="center" vertical="center" wrapText="1"/>
      <protection/>
    </xf>
    <xf numFmtId="4" fontId="5" fillId="0" borderId="0" xfId="92" applyNumberFormat="1" applyFont="1" applyAlignment="1">
      <alignment horizontal="center" vertical="center" wrapText="1"/>
      <protection/>
    </xf>
    <xf numFmtId="4" fontId="5" fillId="0" borderId="0" xfId="92" applyNumberFormat="1" applyFont="1" applyAlignment="1">
      <alignment vertical="center" wrapText="1"/>
      <protection/>
    </xf>
    <xf numFmtId="4" fontId="5" fillId="0" borderId="14" xfId="92" applyNumberFormat="1" applyFont="1" applyBorder="1" applyAlignment="1">
      <alignment horizontal="center" vertical="center" wrapText="1"/>
      <protection/>
    </xf>
    <xf numFmtId="3" fontId="5" fillId="0" borderId="14" xfId="92" applyNumberFormat="1" applyFont="1" applyBorder="1" applyAlignment="1">
      <alignment horizontal="center" vertical="center" wrapText="1"/>
      <protection/>
    </xf>
    <xf numFmtId="4" fontId="5" fillId="2" borderId="15" xfId="92" applyNumberFormat="1" applyFont="1" applyFill="1" applyBorder="1" applyAlignment="1">
      <alignment horizontal="center" vertical="center" wrapText="1"/>
      <protection/>
    </xf>
    <xf numFmtId="0" fontId="24" fillId="2" borderId="0" xfId="92" applyFont="1" applyFill="1" applyBorder="1" applyAlignment="1">
      <alignment horizontal="left" vertical="center" wrapText="1"/>
      <protection/>
    </xf>
    <xf numFmtId="4" fontId="5" fillId="2" borderId="16" xfId="92" applyNumberFormat="1" applyFont="1" applyFill="1" applyBorder="1" applyAlignment="1">
      <alignment horizontal="center" vertical="center" wrapText="1"/>
      <protection/>
    </xf>
    <xf numFmtId="4" fontId="5" fillId="2" borderId="14" xfId="92" applyNumberFormat="1" applyFont="1" applyFill="1" applyBorder="1" applyAlignment="1">
      <alignment horizontal="center" vertical="center" wrapText="1"/>
      <protection/>
    </xf>
    <xf numFmtId="0" fontId="24" fillId="0" borderId="14" xfId="92" applyFont="1" applyBorder="1" applyAlignment="1">
      <alignment horizontal="right" vertical="center" wrapText="1"/>
      <protection/>
    </xf>
    <xf numFmtId="4" fontId="4" fillId="0" borderId="14" xfId="92" applyNumberFormat="1" applyFont="1" applyBorder="1" applyAlignment="1">
      <alignment horizontal="center" vertical="center" wrapText="1"/>
      <protection/>
    </xf>
    <xf numFmtId="4" fontId="4" fillId="0" borderId="14" xfId="92" applyNumberFormat="1" applyFont="1" applyBorder="1" applyAlignment="1">
      <alignment horizontal="right" vertical="center" wrapText="1"/>
      <protection/>
    </xf>
    <xf numFmtId="4" fontId="5" fillId="2" borderId="17" xfId="92" applyNumberFormat="1" applyFont="1" applyFill="1" applyBorder="1" applyAlignment="1">
      <alignment horizontal="center" vertical="center" wrapText="1"/>
      <protection/>
    </xf>
    <xf numFmtId="0" fontId="25" fillId="0" borderId="14" xfId="92" applyFont="1" applyBorder="1" applyAlignment="1">
      <alignment horizontal="right" vertical="center" wrapText="1"/>
      <protection/>
    </xf>
    <xf numFmtId="0" fontId="6" fillId="0" borderId="0" xfId="76" applyFont="1" applyAlignment="1" applyProtection="1">
      <alignment/>
      <protection/>
    </xf>
    <xf numFmtId="4" fontId="11" fillId="0" borderId="14" xfId="0" applyNumberFormat="1" applyFont="1" applyFill="1" applyBorder="1" applyAlignment="1">
      <alignment horizontal="right" vertical="top" wrapText="1"/>
    </xf>
    <xf numFmtId="4" fontId="18" fillId="0" borderId="14" xfId="0" applyNumberFormat="1" applyFont="1" applyFill="1" applyBorder="1" applyAlignment="1">
      <alignment horizontal="right" vertical="top" wrapText="1"/>
    </xf>
    <xf numFmtId="4" fontId="20" fillId="0" borderId="14" xfId="0" applyNumberFormat="1" applyFont="1" applyFill="1" applyBorder="1" applyAlignment="1">
      <alignment horizontal="right" vertical="top" wrapText="1"/>
    </xf>
    <xf numFmtId="4" fontId="10" fillId="0" borderId="14" xfId="0" applyNumberFormat="1" applyFont="1" applyFill="1" applyBorder="1" applyAlignment="1">
      <alignment horizontal="right" vertical="top" wrapText="1"/>
    </xf>
    <xf numFmtId="0" fontId="0" fillId="0" borderId="0" xfId="92" applyFill="1">
      <alignment/>
      <protection/>
    </xf>
    <xf numFmtId="4" fontId="11" fillId="0" borderId="14" xfId="92" applyNumberFormat="1" applyFont="1" applyFill="1" applyBorder="1" applyAlignment="1">
      <alignment horizontal="center" vertical="center" wrapText="1"/>
      <protection/>
    </xf>
    <xf numFmtId="4" fontId="10" fillId="0" borderId="14" xfId="92" applyNumberFormat="1" applyFont="1" applyFill="1" applyBorder="1" applyAlignment="1">
      <alignment horizontal="center" vertical="center" wrapText="1"/>
      <protection/>
    </xf>
    <xf numFmtId="4" fontId="0" fillId="0" borderId="0" xfId="92" applyNumberFormat="1" applyFill="1">
      <alignment/>
      <protection/>
    </xf>
    <xf numFmtId="0" fontId="65" fillId="0" borderId="0" xfId="94" applyAlignment="1">
      <alignment horizontal="center" vertical="center" wrapText="1"/>
      <protection/>
    </xf>
    <xf numFmtId="0" fontId="65" fillId="0" borderId="14" xfId="94" applyBorder="1" applyAlignment="1">
      <alignment horizontal="center" vertical="center" wrapText="1"/>
      <protection/>
    </xf>
    <xf numFmtId="0" fontId="65" fillId="0" borderId="14" xfId="94" applyBorder="1" applyAlignment="1">
      <alignment horizontal="right" vertical="center" wrapText="1"/>
      <protection/>
    </xf>
    <xf numFmtId="4" fontId="65" fillId="0" borderId="14" xfId="94" applyNumberFormat="1" applyBorder="1" applyAlignment="1">
      <alignment horizontal="center" vertical="center" wrapText="1"/>
      <protection/>
    </xf>
    <xf numFmtId="209" fontId="65" fillId="0" borderId="14" xfId="94" applyNumberFormat="1" applyBorder="1" applyAlignment="1">
      <alignment horizontal="center" vertical="center" wrapText="1"/>
      <protection/>
    </xf>
    <xf numFmtId="3" fontId="65" fillId="0" borderId="14" xfId="94" applyNumberFormat="1" applyBorder="1" applyAlignment="1">
      <alignment horizontal="center" vertical="center" wrapText="1"/>
      <protection/>
    </xf>
    <xf numFmtId="4" fontId="65" fillId="0" borderId="0" xfId="94" applyNumberFormat="1" applyAlignment="1">
      <alignment horizontal="center" vertical="center" wrapText="1"/>
      <protection/>
    </xf>
    <xf numFmtId="10" fontId="65" fillId="0" borderId="0" xfId="94" applyNumberFormat="1" applyAlignment="1">
      <alignment horizontal="center" vertical="center" wrapText="1"/>
      <protection/>
    </xf>
    <xf numFmtId="3" fontId="65" fillId="0" borderId="0" xfId="94" applyNumberFormat="1" applyAlignment="1">
      <alignment horizontal="center" vertical="center" wrapText="1"/>
      <protection/>
    </xf>
    <xf numFmtId="4" fontId="71" fillId="0" borderId="14" xfId="94" applyNumberFormat="1" applyFont="1" applyBorder="1" applyAlignment="1">
      <alignment horizontal="center" vertical="center" wrapText="1"/>
      <protection/>
    </xf>
    <xf numFmtId="0" fontId="1" fillId="36" borderId="0" xfId="0" applyFont="1" applyFill="1" applyAlignment="1">
      <alignment/>
    </xf>
    <xf numFmtId="49" fontId="2" fillId="36" borderId="14" xfId="0" applyNumberFormat="1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/>
    </xf>
    <xf numFmtId="4" fontId="3" fillId="36" borderId="14" xfId="0" applyNumberFormat="1" applyFont="1" applyFill="1" applyBorder="1" applyAlignment="1">
      <alignment horizontal="center" vertical="center"/>
    </xf>
    <xf numFmtId="4" fontId="1" fillId="36" borderId="14" xfId="0" applyNumberFormat="1" applyFont="1" applyFill="1" applyBorder="1" applyAlignment="1">
      <alignment horizontal="center" vertical="center"/>
    </xf>
    <xf numFmtId="4" fontId="2" fillId="36" borderId="14" xfId="0" applyNumberFormat="1" applyFont="1" applyFill="1" applyBorder="1" applyAlignment="1">
      <alignment horizontal="center" vertical="center"/>
    </xf>
    <xf numFmtId="4" fontId="1" fillId="36" borderId="0" xfId="0" applyNumberFormat="1" applyFont="1" applyFill="1" applyBorder="1" applyAlignment="1">
      <alignment horizontal="center" vertical="center"/>
    </xf>
    <xf numFmtId="4" fontId="1" fillId="36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right" vertical="center" wrapText="1"/>
    </xf>
    <xf numFmtId="0" fontId="72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196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top"/>
    </xf>
    <xf numFmtId="0" fontId="26" fillId="37" borderId="0" xfId="0" applyFont="1" applyFill="1" applyBorder="1" applyAlignment="1">
      <alignment horizontal="left" vertical="top" wrapText="1"/>
    </xf>
    <xf numFmtId="196" fontId="26" fillId="37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96" fontId="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38" borderId="14" xfId="0" applyFont="1" applyFill="1" applyBorder="1" applyAlignment="1">
      <alignment vertical="center" wrapText="1"/>
    </xf>
    <xf numFmtId="4" fontId="23" fillId="0" borderId="14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36" borderId="0" xfId="0" applyFont="1" applyFill="1" applyAlignment="1">
      <alignment horizontal="center" wrapText="1"/>
    </xf>
    <xf numFmtId="0" fontId="4" fillId="0" borderId="18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right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4" xfId="76" applyFont="1" applyFill="1" applyBorder="1" applyAlignment="1" applyProtection="1">
      <alignment horizontal="center" vertical="center" wrapText="1"/>
      <protection/>
    </xf>
    <xf numFmtId="0" fontId="6" fillId="0" borderId="14" xfId="76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1" fillId="0" borderId="0" xfId="92" applyFont="1" applyFill="1" applyAlignment="1">
      <alignment horizontal="right"/>
      <protection/>
    </xf>
    <xf numFmtId="0" fontId="5" fillId="0" borderId="0" xfId="92" applyFont="1" applyAlignment="1">
      <alignment horizontal="center" vertical="center" wrapText="1"/>
      <protection/>
    </xf>
    <xf numFmtId="0" fontId="1" fillId="0" borderId="18" xfId="92" applyFont="1" applyBorder="1" applyAlignment="1">
      <alignment horizontal="right"/>
      <protection/>
    </xf>
    <xf numFmtId="0" fontId="11" fillId="0" borderId="14" xfId="92" applyFont="1" applyBorder="1" applyAlignment="1">
      <alignment horizontal="left" vertical="center" wrapText="1"/>
      <protection/>
    </xf>
    <xf numFmtId="0" fontId="22" fillId="0" borderId="14" xfId="75" applyFont="1" applyFill="1" applyBorder="1" applyAlignment="1" applyProtection="1">
      <alignment horizontal="center" vertical="center" wrapText="1"/>
      <protection/>
    </xf>
    <xf numFmtId="0" fontId="11" fillId="0" borderId="14" xfId="92" applyFont="1" applyBorder="1" applyAlignment="1">
      <alignment horizontal="center" vertical="center" wrapText="1"/>
      <protection/>
    </xf>
    <xf numFmtId="0" fontId="71" fillId="0" borderId="19" xfId="94" applyFont="1" applyBorder="1" applyAlignment="1">
      <alignment horizontal="right" vertical="center" wrapText="1"/>
      <protection/>
    </xf>
    <xf numFmtId="0" fontId="71" fillId="0" borderId="21" xfId="94" applyFont="1" applyBorder="1" applyAlignment="1">
      <alignment horizontal="right" vertical="center" wrapText="1"/>
      <protection/>
    </xf>
    <xf numFmtId="0" fontId="71" fillId="0" borderId="20" xfId="94" applyFont="1" applyBorder="1" applyAlignment="1">
      <alignment horizontal="right" vertical="center" wrapText="1"/>
      <protection/>
    </xf>
    <xf numFmtId="0" fontId="23" fillId="0" borderId="0" xfId="92" applyFont="1" applyFill="1" applyAlignment="1">
      <alignment horizontal="right"/>
      <protection/>
    </xf>
    <xf numFmtId="0" fontId="71" fillId="0" borderId="0" xfId="94" applyFont="1" applyAlignment="1">
      <alignment horizontal="center" vertical="center" wrapText="1"/>
      <protection/>
    </xf>
    <xf numFmtId="0" fontId="65" fillId="0" borderId="14" xfId="94" applyBorder="1" applyAlignment="1">
      <alignment horizontal="center" vertical="center" wrapText="1"/>
      <protection/>
    </xf>
    <xf numFmtId="4" fontId="5" fillId="0" borderId="0" xfId="92" applyNumberFormat="1" applyFont="1" applyAlignment="1">
      <alignment horizontal="center" vertical="center" wrapText="1"/>
      <protection/>
    </xf>
    <xf numFmtId="4" fontId="5" fillId="0" borderId="17" xfId="92" applyNumberFormat="1" applyFont="1" applyBorder="1" applyAlignment="1">
      <alignment horizontal="center" vertical="center" wrapText="1"/>
      <protection/>
    </xf>
    <xf numFmtId="4" fontId="5" fillId="0" borderId="15" xfId="92" applyNumberFormat="1" applyFont="1" applyBorder="1" applyAlignment="1">
      <alignment horizontal="center" vertical="center" wrapText="1"/>
      <protection/>
    </xf>
    <xf numFmtId="4" fontId="5" fillId="0" borderId="14" xfId="92" applyNumberFormat="1" applyFont="1" applyBorder="1" applyAlignment="1">
      <alignment horizontal="center" vertical="center" wrapText="1"/>
      <protection/>
    </xf>
    <xf numFmtId="4" fontId="5" fillId="2" borderId="19" xfId="92" applyNumberFormat="1" applyFont="1" applyFill="1" applyBorder="1" applyAlignment="1">
      <alignment horizontal="right" vertical="center" wrapText="1"/>
      <protection/>
    </xf>
    <xf numFmtId="4" fontId="5" fillId="2" borderId="21" xfId="92" applyNumberFormat="1" applyFont="1" applyFill="1" applyBorder="1" applyAlignment="1">
      <alignment horizontal="right" vertical="center" wrapText="1"/>
      <protection/>
    </xf>
    <xf numFmtId="4" fontId="5" fillId="2" borderId="20" xfId="92" applyNumberFormat="1" applyFont="1" applyFill="1" applyBorder="1" applyAlignment="1">
      <alignment horizontal="right" vertical="center" wrapText="1"/>
      <protection/>
    </xf>
    <xf numFmtId="4" fontId="5" fillId="0" borderId="16" xfId="92" applyNumberFormat="1" applyFont="1" applyBorder="1" applyAlignment="1">
      <alignment horizontal="center" vertical="center" wrapText="1"/>
      <protection/>
    </xf>
    <xf numFmtId="4" fontId="4" fillId="0" borderId="17" xfId="92" applyNumberFormat="1" applyFont="1" applyBorder="1" applyAlignment="1">
      <alignment horizontal="center" vertical="center" wrapText="1"/>
      <protection/>
    </xf>
    <xf numFmtId="4" fontId="4" fillId="0" borderId="15" xfId="92" applyNumberFormat="1" applyFont="1" applyBorder="1" applyAlignment="1">
      <alignment horizontal="center" vertical="center" wrapText="1"/>
      <protection/>
    </xf>
    <xf numFmtId="4" fontId="4" fillId="0" borderId="14" xfId="92" applyNumberFormat="1" applyFont="1" applyBorder="1" applyAlignment="1">
      <alignment horizontal="center" vertical="center" wrapText="1"/>
      <protection/>
    </xf>
  </cellXfs>
  <cellStyles count="12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63" xfId="62"/>
    <cellStyle name="xl64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Гиперссылка 2" xfId="74"/>
    <cellStyle name="Гиперссылка 2 2" xfId="75"/>
    <cellStyle name="Гиперссылка 3" xfId="76"/>
    <cellStyle name="Currency" xfId="77"/>
    <cellStyle name="Currency [0]" xfId="78"/>
    <cellStyle name="Денежный 2" xfId="79"/>
    <cellStyle name="Денежный 2 2" xfId="80"/>
    <cellStyle name="Денежный 2_стр.1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2 2" xfId="91"/>
    <cellStyle name="Обычный 2 3" xfId="92"/>
    <cellStyle name="Обычный 2_стр.00" xfId="93"/>
    <cellStyle name="Обычный 3" xfId="94"/>
    <cellStyle name="Обычный 3 2" xfId="95"/>
    <cellStyle name="Обычный 3 2 2" xfId="96"/>
    <cellStyle name="Обычный 3 2 3" xfId="97"/>
    <cellStyle name="Обычный 3 2_$158869_01d" xfId="98"/>
    <cellStyle name="Обычный 3 3" xfId="99"/>
    <cellStyle name="Обычный 3 3 2" xfId="100"/>
    <cellStyle name="Обычный 3 3 3" xfId="101"/>
    <cellStyle name="Обычный 3 3_$158869_03d" xfId="102"/>
    <cellStyle name="Обычный 3 4" xfId="103"/>
    <cellStyle name="Обычный 3 5" xfId="104"/>
    <cellStyle name="Обычный 3_$158869_01d" xfId="105"/>
    <cellStyle name="Обычный 4" xfId="106"/>
    <cellStyle name="Обычный 4 2" xfId="107"/>
    <cellStyle name="Обычный 4 3" xfId="108"/>
    <cellStyle name="Обычный 4_стр.1" xfId="109"/>
    <cellStyle name="Обычный 5" xfId="110"/>
    <cellStyle name="Обычный 5 2" xfId="111"/>
    <cellStyle name="Обычный 5 2 2" xfId="112"/>
    <cellStyle name="Обычный 5 2 2 2" xfId="113"/>
    <cellStyle name="Обычный 5 2 2_$158869_01d" xfId="114"/>
    <cellStyle name="Обычный 5 2 3" xfId="115"/>
    <cellStyle name="Обычный 5 2_$158869_01d" xfId="116"/>
    <cellStyle name="Обычный 5 3" xfId="117"/>
    <cellStyle name="Обычный 5_$158869_01d" xfId="118"/>
    <cellStyle name="Обычный 6" xfId="119"/>
    <cellStyle name="Обычный 6 2" xfId="120"/>
    <cellStyle name="Обычный 6 3" xfId="121"/>
    <cellStyle name="Обычный 6_стр.00)" xfId="122"/>
    <cellStyle name="Обычный 7" xfId="123"/>
    <cellStyle name="Обычный 8" xfId="124"/>
    <cellStyle name="Обычный 9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Стиль 1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7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9.00390625" style="1" customWidth="1"/>
    <col min="2" max="2" width="17.421875" style="1" customWidth="1"/>
    <col min="3" max="3" width="16.57421875" style="90" customWidth="1"/>
    <col min="4" max="4" width="9.28125" style="1" customWidth="1"/>
    <col min="5" max="5" width="16.57421875" style="1" customWidth="1"/>
    <col min="6" max="6" width="6.421875" style="1" customWidth="1"/>
    <col min="7" max="7" width="17.28125" style="1" customWidth="1"/>
    <col min="8" max="8" width="6.57421875" style="1" customWidth="1"/>
    <col min="9" max="9" width="16.28125" style="1" bestFit="1" customWidth="1"/>
    <col min="10" max="10" width="7.00390625" style="1" customWidth="1"/>
    <col min="11" max="11" width="9.140625" style="1" customWidth="1"/>
    <col min="12" max="12" width="10.8515625" style="1" bestFit="1" customWidth="1"/>
    <col min="13" max="13" width="10.00390625" style="1" bestFit="1" customWidth="1"/>
    <col min="14" max="16384" width="9.140625" style="1" customWidth="1"/>
  </cols>
  <sheetData>
    <row r="1" spans="9:10" ht="15.75">
      <c r="I1" s="120" t="s">
        <v>65</v>
      </c>
      <c r="J1" s="120"/>
    </row>
    <row r="3" spans="1:10" ht="15.75">
      <c r="A3" s="121" t="s">
        <v>210</v>
      </c>
      <c r="B3" s="121"/>
      <c r="C3" s="121"/>
      <c r="D3" s="121"/>
      <c r="E3" s="121"/>
      <c r="F3" s="121"/>
      <c r="G3" s="121"/>
      <c r="H3" s="121"/>
      <c r="I3" s="121"/>
      <c r="J3" s="121"/>
    </row>
    <row r="5" spans="1:10" ht="12.75">
      <c r="A5" s="122" t="s">
        <v>0</v>
      </c>
      <c r="B5" s="122" t="s">
        <v>17</v>
      </c>
      <c r="C5" s="122"/>
      <c r="D5" s="122"/>
      <c r="E5" s="122" t="s">
        <v>54</v>
      </c>
      <c r="F5" s="122"/>
      <c r="G5" s="122" t="s">
        <v>61</v>
      </c>
      <c r="H5" s="122"/>
      <c r="I5" s="122" t="s">
        <v>191</v>
      </c>
      <c r="J5" s="122"/>
    </row>
    <row r="6" spans="1:10" ht="63.75">
      <c r="A6" s="122"/>
      <c r="B6" s="12" t="s">
        <v>1</v>
      </c>
      <c r="C6" s="91" t="s">
        <v>2</v>
      </c>
      <c r="D6" s="12" t="s">
        <v>4</v>
      </c>
      <c r="E6" s="12" t="s">
        <v>3</v>
      </c>
      <c r="F6" s="12" t="s">
        <v>4</v>
      </c>
      <c r="G6" s="12" t="s">
        <v>3</v>
      </c>
      <c r="H6" s="12" t="s">
        <v>4</v>
      </c>
      <c r="I6" s="12" t="s">
        <v>3</v>
      </c>
      <c r="J6" s="12" t="s">
        <v>4</v>
      </c>
    </row>
    <row r="7" spans="1:10" ht="12.75">
      <c r="A7" s="2"/>
      <c r="B7" s="2" t="s">
        <v>5</v>
      </c>
      <c r="C7" s="92" t="s">
        <v>5</v>
      </c>
      <c r="D7" s="2" t="s">
        <v>6</v>
      </c>
      <c r="E7" s="2" t="s">
        <v>5</v>
      </c>
      <c r="F7" s="2" t="s">
        <v>6</v>
      </c>
      <c r="G7" s="2" t="s">
        <v>5</v>
      </c>
      <c r="H7" s="2" t="s">
        <v>6</v>
      </c>
      <c r="I7" s="2" t="s">
        <v>5</v>
      </c>
      <c r="J7" s="2" t="s">
        <v>6</v>
      </c>
    </row>
    <row r="8" spans="1:10" ht="51.75" customHeight="1">
      <c r="A8" s="9" t="s">
        <v>66</v>
      </c>
      <c r="B8" s="10">
        <f aca="true" t="shared" si="0" ref="B8:J8">B10+B11</f>
        <v>945560942.8</v>
      </c>
      <c r="C8" s="93">
        <f t="shared" si="0"/>
        <v>904129076.9300001</v>
      </c>
      <c r="D8" s="29">
        <f t="shared" si="0"/>
        <v>33.22256481693913</v>
      </c>
      <c r="E8" s="10">
        <f t="shared" si="0"/>
        <v>929608818.61</v>
      </c>
      <c r="F8" s="29">
        <f t="shared" si="0"/>
        <v>34.46498326208966</v>
      </c>
      <c r="G8" s="10">
        <f t="shared" si="0"/>
        <v>953897739.49</v>
      </c>
      <c r="H8" s="29">
        <f t="shared" si="0"/>
        <v>38.41181989997926</v>
      </c>
      <c r="I8" s="10">
        <f t="shared" si="0"/>
        <v>988899575.87</v>
      </c>
      <c r="J8" s="11">
        <f t="shared" si="0"/>
        <v>38.26381953954482</v>
      </c>
    </row>
    <row r="9" spans="1:10" ht="12.75">
      <c r="A9" s="3" t="s">
        <v>70</v>
      </c>
      <c r="B9" s="4"/>
      <c r="C9" s="94"/>
      <c r="D9" s="30"/>
      <c r="E9" s="4"/>
      <c r="F9" s="30"/>
      <c r="G9" s="4"/>
      <c r="H9" s="30"/>
      <c r="I9" s="7"/>
      <c r="J9" s="5"/>
    </row>
    <row r="10" spans="1:13" ht="31.5" customHeight="1">
      <c r="A10" s="3" t="s">
        <v>67</v>
      </c>
      <c r="B10" s="4">
        <v>801500167.25</v>
      </c>
      <c r="C10" s="94">
        <v>787753039</v>
      </c>
      <c r="D10" s="30">
        <f>C10/C16*100</f>
        <v>28.946283297052418</v>
      </c>
      <c r="E10" s="4">
        <v>796943602</v>
      </c>
      <c r="F10" s="30">
        <f>E10/E16*100</f>
        <v>29.54645798738121</v>
      </c>
      <c r="G10" s="4">
        <v>827122645</v>
      </c>
      <c r="H10" s="30">
        <f>G10/G16*100</f>
        <v>33.30680507946371</v>
      </c>
      <c r="I10" s="4">
        <v>858401655</v>
      </c>
      <c r="J10" s="5">
        <f>I10/I16*100</f>
        <v>33.21442017049109</v>
      </c>
      <c r="L10" s="8"/>
      <c r="M10" s="8"/>
    </row>
    <row r="11" spans="1:13" ht="30" customHeight="1">
      <c r="A11" s="3" t="s">
        <v>68</v>
      </c>
      <c r="B11" s="4">
        <v>144060775.55</v>
      </c>
      <c r="C11" s="94">
        <v>116376037.93</v>
      </c>
      <c r="D11" s="30">
        <f>C11/C16*100</f>
        <v>4.276281519886713</v>
      </c>
      <c r="E11" s="4">
        <v>132665216.61</v>
      </c>
      <c r="F11" s="30">
        <f>E11/E16*100</f>
        <v>4.918525274708451</v>
      </c>
      <c r="G11" s="4">
        <v>126775094.49</v>
      </c>
      <c r="H11" s="30">
        <f>G11/G16*100</f>
        <v>5.105014820515551</v>
      </c>
      <c r="I11" s="4">
        <v>130497920.87</v>
      </c>
      <c r="J11" s="5">
        <f>I11/I16*100</f>
        <v>5.04939936905373</v>
      </c>
      <c r="L11" s="8"/>
      <c r="M11" s="8"/>
    </row>
    <row r="12" spans="1:13" s="13" customFormat="1" ht="33.75" customHeight="1">
      <c r="A12" s="9" t="s">
        <v>69</v>
      </c>
      <c r="B12" s="10">
        <f>B14+B15</f>
        <v>1756423393.01</v>
      </c>
      <c r="C12" s="93">
        <f>C14+C15</f>
        <v>1817301619.0800002</v>
      </c>
      <c r="D12" s="11">
        <f>C12/C16*100</f>
        <v>66.77743518306087</v>
      </c>
      <c r="E12" s="10">
        <f>E14+E15</f>
        <v>1767647151.43</v>
      </c>
      <c r="F12" s="11">
        <f>E12/E16*100</f>
        <v>65.53501673791034</v>
      </c>
      <c r="G12" s="10">
        <f>G14+G15</f>
        <v>1529446559.15</v>
      </c>
      <c r="H12" s="11">
        <f>G12/G16*100</f>
        <v>61.58818010002073</v>
      </c>
      <c r="I12" s="10">
        <f>I14+I15</f>
        <v>1595525052.33</v>
      </c>
      <c r="J12" s="11">
        <f>I12/I16*100</f>
        <v>61.736180460455195</v>
      </c>
      <c r="L12" s="27"/>
      <c r="M12" s="28"/>
    </row>
    <row r="13" spans="1:13" ht="19.5" customHeight="1">
      <c r="A13" s="3" t="s">
        <v>70</v>
      </c>
      <c r="B13" s="4"/>
      <c r="C13" s="94"/>
      <c r="D13" s="5"/>
      <c r="E13" s="4"/>
      <c r="F13" s="5"/>
      <c r="G13" s="4"/>
      <c r="H13" s="11"/>
      <c r="I13" s="4"/>
      <c r="J13" s="5"/>
      <c r="L13" s="8"/>
      <c r="M13" s="8"/>
    </row>
    <row r="14" spans="1:13" ht="59.25" customHeight="1">
      <c r="A14" s="3" t="s">
        <v>71</v>
      </c>
      <c r="B14" s="4">
        <v>1749548788.08</v>
      </c>
      <c r="C14" s="94">
        <v>1810427014.15</v>
      </c>
      <c r="D14" s="5">
        <f>C14/C16*100</f>
        <v>66.52482522536181</v>
      </c>
      <c r="E14" s="4">
        <v>1767647151.43</v>
      </c>
      <c r="F14" s="5">
        <f>E14/E16*100</f>
        <v>65.53501673791034</v>
      </c>
      <c r="G14" s="4">
        <v>1529446559.15</v>
      </c>
      <c r="H14" s="5">
        <f>G14/G16*100</f>
        <v>61.58818010002073</v>
      </c>
      <c r="I14" s="4">
        <v>1595525052.33</v>
      </c>
      <c r="J14" s="5">
        <f>I14/I16*100</f>
        <v>61.736180460455195</v>
      </c>
      <c r="L14" s="8"/>
      <c r="M14" s="8"/>
    </row>
    <row r="15" spans="1:13" ht="30" customHeight="1">
      <c r="A15" s="3" t="s">
        <v>72</v>
      </c>
      <c r="B15" s="4">
        <v>6874604.93</v>
      </c>
      <c r="C15" s="94">
        <v>6874604.93</v>
      </c>
      <c r="D15" s="5">
        <f>C15/C16*100</f>
        <v>0.2526099576990565</v>
      </c>
      <c r="E15" s="4">
        <v>0</v>
      </c>
      <c r="F15" s="5">
        <f>E15/E16*100</f>
        <v>0</v>
      </c>
      <c r="G15" s="4">
        <v>0</v>
      </c>
      <c r="H15" s="5">
        <f>G15/G16*100</f>
        <v>0</v>
      </c>
      <c r="I15" s="4">
        <v>0</v>
      </c>
      <c r="J15" s="5">
        <f>I15/I16*100</f>
        <v>0</v>
      </c>
      <c r="L15" s="8"/>
      <c r="M15" s="8"/>
    </row>
    <row r="16" spans="1:10" s="26" customFormat="1" ht="31.5" customHeight="1">
      <c r="A16" s="6" t="s">
        <v>73</v>
      </c>
      <c r="B16" s="24">
        <f aca="true" t="shared" si="1" ref="B16:J16">B8+B12</f>
        <v>2701984335.81</v>
      </c>
      <c r="C16" s="95">
        <f t="shared" si="1"/>
        <v>2721430696.01</v>
      </c>
      <c r="D16" s="25">
        <f t="shared" si="1"/>
        <v>100</v>
      </c>
      <c r="E16" s="24">
        <f t="shared" si="1"/>
        <v>2697255970.04</v>
      </c>
      <c r="F16" s="25">
        <f t="shared" si="1"/>
        <v>100</v>
      </c>
      <c r="G16" s="24">
        <f t="shared" si="1"/>
        <v>2483344298.6400003</v>
      </c>
      <c r="H16" s="25">
        <f t="shared" si="1"/>
        <v>99.99999999999999</v>
      </c>
      <c r="I16" s="24">
        <f t="shared" si="1"/>
        <v>2584424628.2</v>
      </c>
      <c r="J16" s="25">
        <f t="shared" si="1"/>
        <v>100.00000000000001</v>
      </c>
    </row>
    <row r="19" spans="5:9" ht="12.75">
      <c r="E19" s="8"/>
      <c r="G19" s="8"/>
      <c r="I19" s="8"/>
    </row>
    <row r="20" ht="12.75">
      <c r="C20" s="96"/>
    </row>
    <row r="23" ht="12.75">
      <c r="C23" s="97"/>
    </row>
    <row r="27" ht="12.75">
      <c r="C27" s="97"/>
    </row>
  </sheetData>
  <sheetProtection/>
  <mergeCells count="7">
    <mergeCell ref="I1:J1"/>
    <mergeCell ref="A3:J3"/>
    <mergeCell ref="A5:A6"/>
    <mergeCell ref="B5:D5"/>
    <mergeCell ref="E5:F5"/>
    <mergeCell ref="G5:H5"/>
    <mergeCell ref="I5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8"/>
  <sheetViews>
    <sheetView zoomScalePageLayoutView="0" workbookViewId="0" topLeftCell="H1">
      <selection activeCell="K1" sqref="K1:AJ16384"/>
    </sheetView>
  </sheetViews>
  <sheetFormatPr defaultColWidth="9.140625" defaultRowHeight="12.75"/>
  <cols>
    <col min="1" max="1" width="19.00390625" style="1" customWidth="1"/>
    <col min="2" max="2" width="16.00390625" style="1" customWidth="1"/>
    <col min="3" max="3" width="15.421875" style="1" bestFit="1" customWidth="1"/>
    <col min="4" max="4" width="7.00390625" style="1" customWidth="1"/>
    <col min="5" max="5" width="14.00390625" style="1" customWidth="1"/>
    <col min="6" max="6" width="6.421875" style="1" customWidth="1"/>
    <col min="7" max="7" width="15.421875" style="1" bestFit="1" customWidth="1"/>
    <col min="8" max="8" width="6.57421875" style="1" customWidth="1"/>
    <col min="9" max="9" width="16.28125" style="1" bestFit="1" customWidth="1"/>
    <col min="10" max="10" width="7.00390625" style="1" customWidth="1"/>
    <col min="11" max="16384" width="9.140625" style="1" customWidth="1"/>
  </cols>
  <sheetData>
    <row r="1" spans="9:10" ht="15.75">
      <c r="I1" s="123" t="s">
        <v>58</v>
      </c>
      <c r="J1" s="123"/>
    </row>
    <row r="3" spans="1:10" ht="15.75">
      <c r="A3" s="121" t="s">
        <v>211</v>
      </c>
      <c r="B3" s="121"/>
      <c r="C3" s="121"/>
      <c r="D3" s="121"/>
      <c r="E3" s="121"/>
      <c r="F3" s="121"/>
      <c r="G3" s="121"/>
      <c r="H3" s="121"/>
      <c r="I3" s="121"/>
      <c r="J3" s="121"/>
    </row>
    <row r="5" spans="1:10" ht="12.75">
      <c r="A5" s="122" t="s">
        <v>0</v>
      </c>
      <c r="B5" s="122" t="s">
        <v>17</v>
      </c>
      <c r="C5" s="122"/>
      <c r="D5" s="122"/>
      <c r="E5" s="12" t="s">
        <v>54</v>
      </c>
      <c r="F5" s="12"/>
      <c r="G5" s="122" t="s">
        <v>61</v>
      </c>
      <c r="H5" s="122"/>
      <c r="I5" s="122" t="s">
        <v>191</v>
      </c>
      <c r="J5" s="122"/>
    </row>
    <row r="6" spans="1:10" ht="63.75">
      <c r="A6" s="122"/>
      <c r="B6" s="12" t="s">
        <v>1</v>
      </c>
      <c r="C6" s="12" t="s">
        <v>2</v>
      </c>
      <c r="D6" s="12" t="s">
        <v>4</v>
      </c>
      <c r="E6" s="12" t="s">
        <v>3</v>
      </c>
      <c r="F6" s="12" t="s">
        <v>4</v>
      </c>
      <c r="G6" s="12" t="s">
        <v>3</v>
      </c>
      <c r="H6" s="12" t="s">
        <v>4</v>
      </c>
      <c r="I6" s="12" t="s">
        <v>3</v>
      </c>
      <c r="J6" s="12" t="s">
        <v>4</v>
      </c>
    </row>
    <row r="7" spans="1:10" ht="12.75">
      <c r="A7" s="2"/>
      <c r="B7" s="2" t="s">
        <v>5</v>
      </c>
      <c r="C7" s="2" t="s">
        <v>5</v>
      </c>
      <c r="D7" s="2" t="s">
        <v>6</v>
      </c>
      <c r="E7" s="2" t="s">
        <v>5</v>
      </c>
      <c r="F7" s="2" t="s">
        <v>6</v>
      </c>
      <c r="G7" s="2" t="s">
        <v>5</v>
      </c>
      <c r="H7" s="2" t="s">
        <v>6</v>
      </c>
      <c r="I7" s="2" t="s">
        <v>5</v>
      </c>
      <c r="J7" s="2" t="s">
        <v>6</v>
      </c>
    </row>
    <row r="8" spans="1:10" ht="51.75" customHeight="1">
      <c r="A8" s="9" t="s">
        <v>7</v>
      </c>
      <c r="B8" s="10">
        <f aca="true" t="shared" si="0" ref="B8:J8">SUM(B10:B17)</f>
        <v>801500167.25</v>
      </c>
      <c r="C8" s="10">
        <f t="shared" si="0"/>
        <v>787753039</v>
      </c>
      <c r="D8" s="11">
        <f t="shared" si="0"/>
        <v>100</v>
      </c>
      <c r="E8" s="10">
        <f t="shared" si="0"/>
        <v>796943602</v>
      </c>
      <c r="F8" s="11">
        <f t="shared" si="0"/>
        <v>100.00000000000001</v>
      </c>
      <c r="G8" s="10">
        <f t="shared" si="0"/>
        <v>827122645</v>
      </c>
      <c r="H8" s="11">
        <f t="shared" si="0"/>
        <v>99.99999999999999</v>
      </c>
      <c r="I8" s="10">
        <f t="shared" si="0"/>
        <v>858401655</v>
      </c>
      <c r="J8" s="11">
        <f t="shared" si="0"/>
        <v>100</v>
      </c>
    </row>
    <row r="9" spans="1:10" ht="12.75">
      <c r="A9" s="3" t="s">
        <v>8</v>
      </c>
      <c r="B9" s="4"/>
      <c r="C9" s="4"/>
      <c r="D9" s="5"/>
      <c r="E9" s="4"/>
      <c r="F9" s="5"/>
      <c r="G9" s="4"/>
      <c r="H9" s="5"/>
      <c r="I9" s="7"/>
      <c r="J9" s="5"/>
    </row>
    <row r="10" spans="1:10" ht="31.5" customHeight="1">
      <c r="A10" s="3" t="s">
        <v>9</v>
      </c>
      <c r="B10" s="4">
        <v>708424589.25</v>
      </c>
      <c r="C10" s="4">
        <v>702425000</v>
      </c>
      <c r="D10" s="5">
        <f>C10/C8*100</f>
        <v>89.16817393579106</v>
      </c>
      <c r="E10" s="4">
        <v>709578000</v>
      </c>
      <c r="F10" s="5">
        <f>E10/E8*100</f>
        <v>89.03741722993341</v>
      </c>
      <c r="G10" s="4">
        <v>737928000</v>
      </c>
      <c r="H10" s="5">
        <f>G10/G8*100</f>
        <v>89.21627336173343</v>
      </c>
      <c r="I10" s="4">
        <v>767411000</v>
      </c>
      <c r="J10" s="5">
        <f>I10/I8*100</f>
        <v>89.39999073044658</v>
      </c>
    </row>
    <row r="11" spans="1:10" ht="99" customHeight="1">
      <c r="A11" s="3" t="s">
        <v>15</v>
      </c>
      <c r="B11" s="4">
        <v>7907535</v>
      </c>
      <c r="C11" s="4">
        <v>8717039</v>
      </c>
      <c r="D11" s="5">
        <f>C11/C8*100</f>
        <v>1.106570024923763</v>
      </c>
      <c r="E11" s="4">
        <v>7773602</v>
      </c>
      <c r="F11" s="5">
        <f>E11/E8*100</f>
        <v>0.9754268659026137</v>
      </c>
      <c r="G11" s="4">
        <v>8252645</v>
      </c>
      <c r="H11" s="5">
        <f>G11/G8*100</f>
        <v>0.9977534831004417</v>
      </c>
      <c r="I11" s="4">
        <v>8669655</v>
      </c>
      <c r="J11" s="5">
        <f>I11/I8*100</f>
        <v>1.0099765010355204</v>
      </c>
    </row>
    <row r="12" spans="1:10" ht="57" customHeight="1">
      <c r="A12" s="3" t="s">
        <v>10</v>
      </c>
      <c r="B12" s="4">
        <v>40564043</v>
      </c>
      <c r="C12" s="4">
        <v>35902000</v>
      </c>
      <c r="D12" s="5">
        <f>C12/C8*100</f>
        <v>4.55751970764533</v>
      </c>
      <c r="E12" s="4">
        <v>36620000</v>
      </c>
      <c r="F12" s="5">
        <f>E12/E8*100</f>
        <v>4.595055397659118</v>
      </c>
      <c r="G12" s="4">
        <v>37350000</v>
      </c>
      <c r="H12" s="5">
        <f>G12/G8*100</f>
        <v>4.515654386418111</v>
      </c>
      <c r="I12" s="4">
        <v>38097000</v>
      </c>
      <c r="J12" s="5">
        <f>I12/I8*100</f>
        <v>4.4381321701901895</v>
      </c>
    </row>
    <row r="13" spans="1:10" ht="30" customHeight="1">
      <c r="A13" s="3" t="s">
        <v>11</v>
      </c>
      <c r="B13" s="4">
        <v>16816000</v>
      </c>
      <c r="C13" s="4">
        <v>13471000</v>
      </c>
      <c r="D13" s="5">
        <f>C13/C8*100</f>
        <v>1.7100537012336425</v>
      </c>
      <c r="E13" s="4">
        <v>14754000</v>
      </c>
      <c r="F13" s="5">
        <f>E13/E8*100</f>
        <v>1.851322974796904</v>
      </c>
      <c r="G13" s="4">
        <v>15049000</v>
      </c>
      <c r="H13" s="5">
        <f>G13/G8*100</f>
        <v>1.8194399695102048</v>
      </c>
      <c r="I13" s="4">
        <v>15350000</v>
      </c>
      <c r="J13" s="5">
        <f>I13/I8*100</f>
        <v>1.788207176744085</v>
      </c>
    </row>
    <row r="14" spans="1:10" ht="98.25" customHeight="1">
      <c r="A14" s="3" t="s">
        <v>18</v>
      </c>
      <c r="B14" s="4">
        <v>818000</v>
      </c>
      <c r="C14" s="4">
        <v>710000</v>
      </c>
      <c r="D14" s="5">
        <f>C14/C8*100</f>
        <v>0.0901297697183495</v>
      </c>
      <c r="E14" s="4">
        <v>753000</v>
      </c>
      <c r="F14" s="5">
        <f>E14/E8*100</f>
        <v>0.09448598346360776</v>
      </c>
      <c r="G14" s="4">
        <v>760000</v>
      </c>
      <c r="H14" s="5">
        <f>G14/G8*100</f>
        <v>0.09188480143715566</v>
      </c>
      <c r="I14" s="4">
        <v>768000</v>
      </c>
      <c r="J14" s="5">
        <f>I14/I8*100</f>
        <v>0.08946860662797768</v>
      </c>
    </row>
    <row r="15" spans="1:10" ht="132" customHeight="1">
      <c r="A15" s="3" t="s">
        <v>12</v>
      </c>
      <c r="B15" s="4">
        <v>4818000</v>
      </c>
      <c r="C15" s="4">
        <v>4376000</v>
      </c>
      <c r="D15" s="5">
        <f>C15/C8*100</f>
        <v>0.5555040454753486</v>
      </c>
      <c r="E15" s="4">
        <v>4465000</v>
      </c>
      <c r="F15" s="5">
        <f>E15/E8*100</f>
        <v>0.560265492915018</v>
      </c>
      <c r="G15" s="4">
        <v>4554000</v>
      </c>
      <c r="H15" s="5">
        <f>G15/G8*100</f>
        <v>0.5505834022957986</v>
      </c>
      <c r="I15" s="4">
        <v>4645000</v>
      </c>
      <c r="J15" s="5">
        <f>I15/I8*100</f>
        <v>0.5411219762850994</v>
      </c>
    </row>
    <row r="16" spans="1:10" ht="31.5" customHeight="1">
      <c r="A16" s="3" t="s">
        <v>13</v>
      </c>
      <c r="B16" s="4">
        <v>11317000</v>
      </c>
      <c r="C16" s="4">
        <v>11317000</v>
      </c>
      <c r="D16" s="5">
        <f>C16/C8*100</f>
        <v>1.4366177519754386</v>
      </c>
      <c r="E16" s="4">
        <v>11964000</v>
      </c>
      <c r="F16" s="5">
        <f>E16/E8*100</f>
        <v>1.5012354663460867</v>
      </c>
      <c r="G16" s="4">
        <v>12083000</v>
      </c>
      <c r="H16" s="5">
        <f>G16/G8*100</f>
        <v>1.4608474417962525</v>
      </c>
      <c r="I16" s="4">
        <v>12204000</v>
      </c>
      <c r="J16" s="5">
        <f>I16/I8*100</f>
        <v>1.4217120771977076</v>
      </c>
    </row>
    <row r="17" spans="1:10" ht="31.5" customHeight="1">
      <c r="A17" s="3" t="s">
        <v>14</v>
      </c>
      <c r="B17" s="4">
        <v>10835000</v>
      </c>
      <c r="C17" s="4">
        <v>10835000</v>
      </c>
      <c r="D17" s="5">
        <f>C17/C8*100</f>
        <v>1.375431063237066</v>
      </c>
      <c r="E17" s="4">
        <v>11036000</v>
      </c>
      <c r="F17" s="5">
        <f>E17/E8*100</f>
        <v>1.384790588983234</v>
      </c>
      <c r="G17" s="4">
        <v>11146000</v>
      </c>
      <c r="H17" s="5">
        <f>G17/G8*100</f>
        <v>1.3475631537086015</v>
      </c>
      <c r="I17" s="4">
        <v>11257000</v>
      </c>
      <c r="J17" s="5">
        <f>I17/I8*100</f>
        <v>1.3113907614728446</v>
      </c>
    </row>
    <row r="20" spans="5:9" ht="12.75">
      <c r="E20" s="8"/>
      <c r="G20" s="8"/>
      <c r="I20" s="8"/>
    </row>
    <row r="21" ht="12.75">
      <c r="C21" s="19"/>
    </row>
    <row r="24" ht="12.75">
      <c r="C24" s="8"/>
    </row>
    <row r="28" ht="12.75">
      <c r="C28" s="8"/>
    </row>
  </sheetData>
  <sheetProtection/>
  <mergeCells count="6">
    <mergeCell ref="I1:J1"/>
    <mergeCell ref="A3:J3"/>
    <mergeCell ref="A5:A6"/>
    <mergeCell ref="B5:D5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8"/>
  <sheetViews>
    <sheetView view="pageBreakPreview" zoomScale="60" zoomScalePageLayoutView="0" workbookViewId="0" topLeftCell="A1">
      <selection activeCell="F27" sqref="F27"/>
    </sheetView>
  </sheetViews>
  <sheetFormatPr defaultColWidth="9.140625" defaultRowHeight="12.75"/>
  <cols>
    <col min="1" max="1" width="47.28125" style="1" customWidth="1"/>
    <col min="2" max="2" width="23.8515625" style="1" customWidth="1"/>
    <col min="3" max="3" width="14.00390625" style="1" customWidth="1"/>
    <col min="4" max="4" width="15.421875" style="1" bestFit="1" customWidth="1"/>
    <col min="5" max="5" width="16.28125" style="1" bestFit="1" customWidth="1"/>
    <col min="6" max="16384" width="9.140625" style="1" customWidth="1"/>
  </cols>
  <sheetData>
    <row r="1" spans="2:3" ht="15.75">
      <c r="B1" s="98" t="s">
        <v>59</v>
      </c>
      <c r="C1" s="21"/>
    </row>
    <row r="3" spans="1:2" ht="156.75" customHeight="1">
      <c r="A3" s="124" t="s">
        <v>212</v>
      </c>
      <c r="B3" s="124"/>
    </row>
    <row r="4" spans="1:2" ht="15.75">
      <c r="A4" s="99"/>
      <c r="B4" s="99"/>
    </row>
    <row r="5" spans="1:2" ht="15.75">
      <c r="A5" s="100"/>
      <c r="B5" s="101" t="s">
        <v>62</v>
      </c>
    </row>
    <row r="6" spans="1:2" ht="31.5">
      <c r="A6" s="102" t="s">
        <v>19</v>
      </c>
      <c r="B6" s="103" t="s">
        <v>20</v>
      </c>
    </row>
    <row r="7" spans="1:2" ht="15.75">
      <c r="A7" s="104" t="s">
        <v>21</v>
      </c>
      <c r="B7" s="105">
        <v>1.8025</v>
      </c>
    </row>
    <row r="8" spans="1:2" ht="15.75">
      <c r="A8" s="106" t="s">
        <v>22</v>
      </c>
      <c r="B8" s="105">
        <v>0.3829</v>
      </c>
    </row>
    <row r="9" spans="1:2" ht="15.75">
      <c r="A9" s="106" t="s">
        <v>23</v>
      </c>
      <c r="B9" s="105">
        <v>0.3983</v>
      </c>
    </row>
    <row r="10" spans="1:2" ht="15.75">
      <c r="A10" s="106" t="s">
        <v>24</v>
      </c>
      <c r="B10" s="105">
        <v>0.5451</v>
      </c>
    </row>
    <row r="11" spans="1:2" ht="15.75">
      <c r="A11" s="106" t="s">
        <v>25</v>
      </c>
      <c r="B11" s="105">
        <v>0.7473</v>
      </c>
    </row>
    <row r="12" spans="1:2" ht="15.75">
      <c r="A12" s="106" t="s">
        <v>26</v>
      </c>
      <c r="B12" s="105">
        <v>0.3274</v>
      </c>
    </row>
    <row r="13" spans="1:2" ht="15.75">
      <c r="A13" s="106" t="s">
        <v>27</v>
      </c>
      <c r="B13" s="105">
        <v>0.4753</v>
      </c>
    </row>
    <row r="14" spans="1:2" ht="15.75">
      <c r="A14" s="107" t="s">
        <v>28</v>
      </c>
      <c r="B14" s="105">
        <v>0.6795</v>
      </c>
    </row>
    <row r="15" spans="1:2" ht="15.75">
      <c r="A15" s="108" t="s">
        <v>29</v>
      </c>
      <c r="B15" s="109">
        <v>0.4773</v>
      </c>
    </row>
    <row r="16" spans="1:2" ht="15.75">
      <c r="A16" s="107" t="s">
        <v>30</v>
      </c>
      <c r="B16" s="105">
        <v>0.3336</v>
      </c>
    </row>
    <row r="17" spans="1:2" ht="15.75">
      <c r="A17" s="107" t="s">
        <v>31</v>
      </c>
      <c r="B17" s="105">
        <v>0.2484</v>
      </c>
    </row>
    <row r="18" spans="1:2" ht="15.75">
      <c r="A18" s="107" t="s">
        <v>32</v>
      </c>
      <c r="B18" s="105">
        <v>0.1335</v>
      </c>
    </row>
    <row r="19" spans="1:2" ht="15.75">
      <c r="A19" s="106" t="s">
        <v>33</v>
      </c>
      <c r="B19" s="105">
        <v>0.156</v>
      </c>
    </row>
    <row r="20" spans="1:2" ht="15.75">
      <c r="A20" s="104" t="s">
        <v>34</v>
      </c>
      <c r="B20" s="105">
        <v>0.7001</v>
      </c>
    </row>
    <row r="21" spans="1:2" ht="15.75">
      <c r="A21" s="104" t="s">
        <v>35</v>
      </c>
      <c r="B21" s="105">
        <v>0.3942</v>
      </c>
    </row>
    <row r="22" spans="1:2" ht="15.75">
      <c r="A22" s="104" t="s">
        <v>36</v>
      </c>
      <c r="B22" s="105">
        <v>0.1109</v>
      </c>
    </row>
    <row r="23" spans="1:2" ht="15.75">
      <c r="A23" s="106" t="s">
        <v>37</v>
      </c>
      <c r="B23" s="105">
        <v>0.1047</v>
      </c>
    </row>
    <row r="24" spans="1:2" ht="15.75">
      <c r="A24" s="106" t="s">
        <v>38</v>
      </c>
      <c r="B24" s="105">
        <v>0.1335</v>
      </c>
    </row>
    <row r="25" spans="1:2" ht="15.75">
      <c r="A25" s="106" t="s">
        <v>39</v>
      </c>
      <c r="B25" s="105">
        <v>0.1139</v>
      </c>
    </row>
    <row r="26" spans="1:2" ht="15.75">
      <c r="A26" s="106" t="s">
        <v>40</v>
      </c>
      <c r="B26" s="105">
        <v>0.1653</v>
      </c>
    </row>
    <row r="27" spans="1:2" ht="15.75">
      <c r="A27" s="106" t="s">
        <v>41</v>
      </c>
      <c r="B27" s="105">
        <v>0.3582</v>
      </c>
    </row>
    <row r="28" spans="1:2" ht="15.75">
      <c r="A28" s="104" t="s">
        <v>42</v>
      </c>
      <c r="B28" s="105">
        <v>0.2535</v>
      </c>
    </row>
    <row r="29" spans="1:2" ht="15.75">
      <c r="A29" s="104" t="s">
        <v>43</v>
      </c>
      <c r="B29" s="105">
        <v>0.2217</v>
      </c>
    </row>
    <row r="30" spans="1:2" ht="15.75">
      <c r="A30" s="104" t="s">
        <v>44</v>
      </c>
      <c r="B30" s="105">
        <v>0.1098</v>
      </c>
    </row>
    <row r="31" spans="1:2" ht="15.75">
      <c r="A31" s="104" t="s">
        <v>45</v>
      </c>
      <c r="B31" s="105">
        <v>0.1293</v>
      </c>
    </row>
    <row r="32" spans="1:2" ht="15.75">
      <c r="A32" s="106" t="s">
        <v>46</v>
      </c>
      <c r="B32" s="105">
        <v>0.1201</v>
      </c>
    </row>
    <row r="33" spans="1:2" ht="15.75">
      <c r="A33" s="104" t="s">
        <v>47</v>
      </c>
      <c r="B33" s="105">
        <v>0.04</v>
      </c>
    </row>
    <row r="34" spans="1:2" ht="15.75">
      <c r="A34" s="106" t="s">
        <v>48</v>
      </c>
      <c r="B34" s="105">
        <v>0.0924</v>
      </c>
    </row>
    <row r="35" spans="1:2" ht="15.75">
      <c r="A35" s="106" t="s">
        <v>49</v>
      </c>
      <c r="B35" s="105">
        <v>0.2453</v>
      </c>
    </row>
    <row r="36" spans="1:2" ht="15.75">
      <c r="A36" s="110" t="s">
        <v>50</v>
      </c>
      <c r="B36" s="111">
        <v>10</v>
      </c>
    </row>
    <row r="37" spans="1:2" ht="15.75">
      <c r="A37" s="110"/>
      <c r="B37" s="111"/>
    </row>
    <row r="38" spans="1:2" ht="52.5" customHeight="1">
      <c r="A38" s="125" t="s">
        <v>213</v>
      </c>
      <c r="B38" s="125"/>
    </row>
  </sheetData>
  <sheetProtection/>
  <mergeCells count="2">
    <mergeCell ref="A3:B3"/>
    <mergeCell ref="A38:B3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6"/>
  <sheetViews>
    <sheetView zoomScalePageLayoutView="0" workbookViewId="0" topLeftCell="A19">
      <selection activeCell="F27" sqref="F27"/>
    </sheetView>
  </sheetViews>
  <sheetFormatPr defaultColWidth="9.140625" defaultRowHeight="12.75"/>
  <cols>
    <col min="1" max="1" width="67.57421875" style="1" customWidth="1"/>
    <col min="2" max="2" width="23.8515625" style="1" customWidth="1"/>
    <col min="3" max="3" width="19.57421875" style="1" customWidth="1"/>
    <col min="4" max="4" width="19.140625" style="1" customWidth="1"/>
    <col min="5" max="5" width="16.28125" style="1" bestFit="1" customWidth="1"/>
    <col min="6" max="16384" width="9.140625" style="1" customWidth="1"/>
  </cols>
  <sheetData>
    <row r="1" ht="15.75">
      <c r="D1" s="98" t="s">
        <v>60</v>
      </c>
    </row>
    <row r="3" ht="12.75">
      <c r="B3" s="8"/>
    </row>
    <row r="4" spans="1:4" s="14" customFormat="1" ht="43.5" customHeight="1">
      <c r="A4" s="126" t="s">
        <v>214</v>
      </c>
      <c r="B4" s="126"/>
      <c r="C4" s="126"/>
      <c r="D4" s="126"/>
    </row>
    <row r="5" spans="2:4" s="14" customFormat="1" ht="16.5" customHeight="1">
      <c r="B5" s="127" t="s">
        <v>5</v>
      </c>
      <c r="C5" s="127"/>
      <c r="D5" s="127"/>
    </row>
    <row r="6" spans="1:4" s="14" customFormat="1" ht="32.25" customHeight="1">
      <c r="A6" s="17" t="s">
        <v>16</v>
      </c>
      <c r="B6" s="17" t="s">
        <v>55</v>
      </c>
      <c r="C6" s="17" t="s">
        <v>63</v>
      </c>
      <c r="D6" s="17" t="s">
        <v>215</v>
      </c>
    </row>
    <row r="7" spans="1:4" s="14" customFormat="1" ht="18.75" customHeight="1">
      <c r="A7" s="18" t="s">
        <v>51</v>
      </c>
      <c r="B7" s="15">
        <f>531164297+3507163+931123930</f>
        <v>1465795390</v>
      </c>
      <c r="C7" s="15">
        <f>562785059+3602725+989736437</f>
        <v>1556124221</v>
      </c>
      <c r="D7" s="15">
        <f>591222800+3784800+1039748260</f>
        <v>1634755860</v>
      </c>
    </row>
    <row r="8" spans="1:4" s="14" customFormat="1" ht="31.5">
      <c r="A8" s="18" t="s">
        <v>52</v>
      </c>
      <c r="B8" s="15">
        <f>B7*100/90</f>
        <v>1628661544.4444444</v>
      </c>
      <c r="C8" s="15">
        <f>C7*100/90</f>
        <v>1729026912.2222223</v>
      </c>
      <c r="D8" s="15">
        <f>D7*100/90</f>
        <v>1816395400</v>
      </c>
    </row>
    <row r="9" spans="1:4" s="14" customFormat="1" ht="34.5" customHeight="1">
      <c r="A9" s="18" t="s">
        <v>53</v>
      </c>
      <c r="B9" s="15">
        <f>B8*10/100</f>
        <v>162866154.44444445</v>
      </c>
      <c r="C9" s="15">
        <f>C8*10/100</f>
        <v>172902691.2222222</v>
      </c>
      <c r="D9" s="15">
        <f>D8*10/100</f>
        <v>181639540</v>
      </c>
    </row>
    <row r="10" spans="1:4" s="14" customFormat="1" ht="33.75" customHeight="1">
      <c r="A10" s="18" t="s">
        <v>57</v>
      </c>
      <c r="B10" s="20">
        <v>0.4773</v>
      </c>
      <c r="C10" s="20">
        <v>0.4773</v>
      </c>
      <c r="D10" s="20">
        <v>0.4773</v>
      </c>
    </row>
    <row r="11" spans="1:4" s="14" customFormat="1" ht="31.5">
      <c r="A11" s="18" t="s">
        <v>56</v>
      </c>
      <c r="B11" s="15">
        <f>B9*0.4773/10+0.45</f>
        <v>7773602.001633334</v>
      </c>
      <c r="C11" s="15">
        <f>C9*C10/10-0.45</f>
        <v>8252645.002036666</v>
      </c>
      <c r="D11" s="15">
        <f>D9*D10/10-0.24</f>
        <v>8669655.0042</v>
      </c>
    </row>
    <row r="13" spans="2:4" ht="15.75">
      <c r="B13" s="23"/>
      <c r="C13" s="23"/>
      <c r="D13" s="23"/>
    </row>
    <row r="14" spans="1:4" ht="15.75">
      <c r="A14" s="22" t="s">
        <v>64</v>
      </c>
      <c r="C14" s="8"/>
      <c r="D14" s="8"/>
    </row>
    <row r="15" ht="12.75">
      <c r="B15" s="8"/>
    </row>
    <row r="16" spans="1:4" ht="12.75">
      <c r="A16" s="128" t="s">
        <v>216</v>
      </c>
      <c r="B16" s="128"/>
      <c r="C16" s="128"/>
      <c r="D16" s="128"/>
    </row>
    <row r="18" spans="1:4" ht="15.75">
      <c r="A18" s="17" t="s">
        <v>16</v>
      </c>
      <c r="B18" s="17" t="s">
        <v>55</v>
      </c>
      <c r="C18" s="17" t="s">
        <v>63</v>
      </c>
      <c r="D18" s="17" t="s">
        <v>215</v>
      </c>
    </row>
    <row r="19" spans="1:4" ht="14.25" customHeight="1">
      <c r="A19" s="18" t="s">
        <v>51</v>
      </c>
      <c r="B19" s="15">
        <v>531164297</v>
      </c>
      <c r="C19" s="15">
        <v>562785059</v>
      </c>
      <c r="D19" s="15">
        <v>591222800</v>
      </c>
    </row>
    <row r="20" spans="1:4" ht="31.5">
      <c r="A20" s="18" t="s">
        <v>52</v>
      </c>
      <c r="B20" s="15">
        <f>B19*100/90</f>
        <v>590182552.2222222</v>
      </c>
      <c r="C20" s="15">
        <f>C19*100/90</f>
        <v>625316732.2222222</v>
      </c>
      <c r="D20" s="15">
        <f>D19*100/90</f>
        <v>656914222.2222222</v>
      </c>
    </row>
    <row r="21" spans="1:4" ht="31.5">
      <c r="A21" s="18" t="s">
        <v>53</v>
      </c>
      <c r="B21" s="15">
        <f>B20*10/100</f>
        <v>59018255.222222224</v>
      </c>
      <c r="C21" s="15">
        <f>C20*10/100</f>
        <v>62531673.222222224</v>
      </c>
      <c r="D21" s="15">
        <f>D20*10/100</f>
        <v>65691422.222222224</v>
      </c>
    </row>
    <row r="22" spans="1:4" ht="31.5">
      <c r="A22" s="18" t="s">
        <v>57</v>
      </c>
      <c r="B22" s="20">
        <v>0.4773</v>
      </c>
      <c r="C22" s="20">
        <v>0.4773</v>
      </c>
      <c r="D22" s="20">
        <v>0.4773</v>
      </c>
    </row>
    <row r="23" spans="1:5" ht="33" customHeight="1">
      <c r="A23" s="18" t="s">
        <v>56</v>
      </c>
      <c r="B23" s="15">
        <f>B21*0.4773/10-0.32</f>
        <v>2816941.001756667</v>
      </c>
      <c r="C23" s="15">
        <f>C21*C22/10+0.24</f>
        <v>2984637.002896667</v>
      </c>
      <c r="D23" s="15">
        <f>D21*D22/10-0.58</f>
        <v>3135451.0026666666</v>
      </c>
      <c r="E23" s="8"/>
    </row>
    <row r="26" spans="1:4" ht="12.75">
      <c r="A26" s="128" t="s">
        <v>217</v>
      </c>
      <c r="B26" s="128"/>
      <c r="C26" s="128"/>
      <c r="D26" s="128"/>
    </row>
    <row r="28" spans="1:4" ht="15.75">
      <c r="A28" s="17" t="s">
        <v>16</v>
      </c>
      <c r="B28" s="17" t="s">
        <v>55</v>
      </c>
      <c r="C28" s="17" t="s">
        <v>63</v>
      </c>
      <c r="D28" s="17" t="s">
        <v>215</v>
      </c>
    </row>
    <row r="29" spans="1:4" ht="15.75">
      <c r="A29" s="18" t="s">
        <v>51</v>
      </c>
      <c r="B29" s="15">
        <v>3507163</v>
      </c>
      <c r="C29" s="15">
        <v>3602725</v>
      </c>
      <c r="D29" s="15">
        <v>3784800</v>
      </c>
    </row>
    <row r="30" spans="1:4" ht="31.5">
      <c r="A30" s="18" t="s">
        <v>52</v>
      </c>
      <c r="B30" s="15">
        <f>B29*100/90</f>
        <v>3896847.777777778</v>
      </c>
      <c r="C30" s="15">
        <f>C29*100/90</f>
        <v>4003027.777777778</v>
      </c>
      <c r="D30" s="15">
        <f>D29*100/90</f>
        <v>4205333.333333333</v>
      </c>
    </row>
    <row r="31" spans="1:5" ht="31.5">
      <c r="A31" s="18" t="s">
        <v>53</v>
      </c>
      <c r="B31" s="15">
        <f>B30*10/100</f>
        <v>389684.77777777775</v>
      </c>
      <c r="C31" s="15">
        <f>C30*10/100</f>
        <v>400302.77777777775</v>
      </c>
      <c r="D31" s="15">
        <f>D30*10/100</f>
        <v>420533.33333333326</v>
      </c>
      <c r="E31" s="8"/>
    </row>
    <row r="32" spans="1:4" ht="31.5">
      <c r="A32" s="18" t="s">
        <v>57</v>
      </c>
      <c r="B32" s="20">
        <v>0.4773</v>
      </c>
      <c r="C32" s="20">
        <v>0.4773</v>
      </c>
      <c r="D32" s="20">
        <v>0.4773</v>
      </c>
    </row>
    <row r="33" spans="1:4" ht="31.5">
      <c r="A33" s="18" t="s">
        <v>56</v>
      </c>
      <c r="B33" s="15">
        <f>B31*0.4773/10+0.35</f>
        <v>18600.00444333333</v>
      </c>
      <c r="C33" s="15">
        <f>C31*0.4773/10-0.45</f>
        <v>19106.00158333333</v>
      </c>
      <c r="D33" s="15">
        <f>D31*0.4773/10-0.06</f>
        <v>20071.995999999996</v>
      </c>
    </row>
    <row r="36" spans="1:4" ht="12.75">
      <c r="A36" s="128" t="s">
        <v>218</v>
      </c>
      <c r="B36" s="128"/>
      <c r="C36" s="128"/>
      <c r="D36" s="128"/>
    </row>
    <row r="38" spans="1:4" ht="15.75">
      <c r="A38" s="17" t="s">
        <v>16</v>
      </c>
      <c r="B38" s="17" t="s">
        <v>55</v>
      </c>
      <c r="C38" s="17" t="s">
        <v>63</v>
      </c>
      <c r="D38" s="17" t="s">
        <v>215</v>
      </c>
    </row>
    <row r="39" spans="1:4" ht="15.75">
      <c r="A39" s="18" t="s">
        <v>51</v>
      </c>
      <c r="B39" s="15">
        <v>931123930</v>
      </c>
      <c r="C39" s="15">
        <v>989736437</v>
      </c>
      <c r="D39" s="15">
        <v>1039748260</v>
      </c>
    </row>
    <row r="40" spans="1:4" ht="31.5">
      <c r="A40" s="18" t="s">
        <v>52</v>
      </c>
      <c r="B40" s="15">
        <f>B39*100/90</f>
        <v>1034582144.4444444</v>
      </c>
      <c r="C40" s="15">
        <f>C39*100/90</f>
        <v>1099707152.2222223</v>
      </c>
      <c r="D40" s="15">
        <f>D39*100/90</f>
        <v>1155275844.4444444</v>
      </c>
    </row>
    <row r="41" spans="1:4" ht="31.5">
      <c r="A41" s="18" t="s">
        <v>53</v>
      </c>
      <c r="B41" s="15">
        <f>B40*10/100</f>
        <v>103458214.44444445</v>
      </c>
      <c r="C41" s="15">
        <f>C40*10/100</f>
        <v>109970715.22222224</v>
      </c>
      <c r="D41" s="15">
        <f>D40*10/100</f>
        <v>115527584.44444445</v>
      </c>
    </row>
    <row r="42" spans="1:4" ht="31.5">
      <c r="A42" s="18" t="s">
        <v>57</v>
      </c>
      <c r="B42" s="20">
        <v>0.4773</v>
      </c>
      <c r="C42" s="20">
        <v>0.4773</v>
      </c>
      <c r="D42" s="20">
        <v>0.4773</v>
      </c>
    </row>
    <row r="43" spans="1:4" ht="31.5">
      <c r="A43" s="18" t="s">
        <v>56</v>
      </c>
      <c r="B43" s="15">
        <f>B41*0.4773/10+0.42</f>
        <v>4938060.995433333</v>
      </c>
      <c r="C43" s="15">
        <f>C41*C42/10-0.24</f>
        <v>5248901.997556668</v>
      </c>
      <c r="D43" s="15">
        <f>D41*D42/10+0.39</f>
        <v>5514131.995533333</v>
      </c>
    </row>
    <row r="46" spans="2:3" ht="12.75">
      <c r="B46" s="8"/>
      <c r="C46" s="8"/>
    </row>
  </sheetData>
  <sheetProtection/>
  <mergeCells count="5">
    <mergeCell ref="A4:D4"/>
    <mergeCell ref="B5:D5"/>
    <mergeCell ref="A16:D16"/>
    <mergeCell ref="A26:D26"/>
    <mergeCell ref="A36:D3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7.57421875" style="14" customWidth="1"/>
    <col min="2" max="2" width="34.421875" style="14" customWidth="1"/>
    <col min="3" max="3" width="13.8515625" style="14" customWidth="1"/>
    <col min="4" max="4" width="19.140625" style="14" customWidth="1"/>
    <col min="5" max="5" width="18.7109375" style="14" customWidth="1"/>
    <col min="6" max="6" width="19.7109375" style="14" customWidth="1"/>
    <col min="7" max="7" width="18.57421875" style="14" customWidth="1"/>
    <col min="8" max="8" width="19.28125" style="14" customWidth="1"/>
    <col min="9" max="16384" width="9.140625" style="14" customWidth="1"/>
  </cols>
  <sheetData>
    <row r="1" ht="15.75">
      <c r="H1" s="14" t="s">
        <v>219</v>
      </c>
    </row>
    <row r="2" s="112" customFormat="1" ht="15"/>
    <row r="3" spans="1:8" s="112" customFormat="1" ht="45" customHeight="1">
      <c r="A3" s="131" t="s">
        <v>220</v>
      </c>
      <c r="B3" s="131"/>
      <c r="C3" s="131"/>
      <c r="D3" s="131"/>
      <c r="E3" s="131"/>
      <c r="F3" s="131"/>
      <c r="G3" s="131"/>
      <c r="H3" s="131"/>
    </row>
    <row r="4" s="112" customFormat="1" ht="15">
      <c r="H4" s="113" t="s">
        <v>5</v>
      </c>
    </row>
    <row r="5" spans="1:8" s="112" customFormat="1" ht="15">
      <c r="A5" s="132" t="s">
        <v>221</v>
      </c>
      <c r="B5" s="132" t="s">
        <v>222</v>
      </c>
      <c r="C5" s="132" t="s">
        <v>54</v>
      </c>
      <c r="D5" s="132"/>
      <c r="E5" s="132" t="s">
        <v>61</v>
      </c>
      <c r="F5" s="132"/>
      <c r="G5" s="132" t="s">
        <v>191</v>
      </c>
      <c r="H5" s="132"/>
    </row>
    <row r="6" spans="1:8" s="112" customFormat="1" ht="57">
      <c r="A6" s="132"/>
      <c r="B6" s="132"/>
      <c r="C6" s="114" t="s">
        <v>223</v>
      </c>
      <c r="D6" s="114" t="s">
        <v>224</v>
      </c>
      <c r="E6" s="114" t="s">
        <v>223</v>
      </c>
      <c r="F6" s="114" t="s">
        <v>224</v>
      </c>
      <c r="G6" s="114" t="s">
        <v>223</v>
      </c>
      <c r="H6" s="114" t="s">
        <v>224</v>
      </c>
    </row>
    <row r="7" spans="1:8" s="112" customFormat="1" ht="15">
      <c r="A7" s="114"/>
      <c r="B7" s="114"/>
      <c r="C7" s="114"/>
      <c r="D7" s="114"/>
      <c r="E7" s="114"/>
      <c r="F7" s="114"/>
      <c r="G7" s="114"/>
      <c r="H7" s="114"/>
    </row>
    <row r="8" spans="1:8" s="112" customFormat="1" ht="45">
      <c r="A8" s="115" t="s">
        <v>225</v>
      </c>
      <c r="B8" s="116" t="s">
        <v>226</v>
      </c>
      <c r="C8" s="117">
        <v>2008700</v>
      </c>
      <c r="D8" s="118">
        <f>C8*100/60+0.01</f>
        <v>3347833.3433333333</v>
      </c>
      <c r="E8" s="117">
        <v>2077000</v>
      </c>
      <c r="F8" s="118">
        <f>E8*100/60</f>
        <v>3461666.6666666665</v>
      </c>
      <c r="G8" s="117">
        <v>2160100</v>
      </c>
      <c r="H8" s="118">
        <f>G8*100/60</f>
        <v>3600166.6666666665</v>
      </c>
    </row>
    <row r="9" spans="1:8" s="112" customFormat="1" ht="30">
      <c r="A9" s="115" t="s">
        <v>227</v>
      </c>
      <c r="B9" s="116" t="s">
        <v>228</v>
      </c>
      <c r="C9" s="117">
        <v>3555400</v>
      </c>
      <c r="D9" s="118">
        <f>C9*100/60</f>
        <v>5925666.666666667</v>
      </c>
      <c r="E9" s="117">
        <v>3676300</v>
      </c>
      <c r="F9" s="118">
        <f>E9*100/60</f>
        <v>6127166.666666667</v>
      </c>
      <c r="G9" s="117">
        <v>3823400</v>
      </c>
      <c r="H9" s="118">
        <f>G9*100/60+0.01</f>
        <v>6372333.343333333</v>
      </c>
    </row>
    <row r="10" spans="1:8" s="112" customFormat="1" ht="39" customHeight="1">
      <c r="A10" s="115" t="s">
        <v>229</v>
      </c>
      <c r="B10" s="116" t="s">
        <v>230</v>
      </c>
      <c r="C10" s="117">
        <v>246000</v>
      </c>
      <c r="D10" s="118">
        <f>C10*100/60</f>
        <v>410000</v>
      </c>
      <c r="E10" s="117">
        <v>254300</v>
      </c>
      <c r="F10" s="118">
        <f>E10*100/60+0.01</f>
        <v>423833.3433333333</v>
      </c>
      <c r="G10" s="117">
        <v>264500</v>
      </c>
      <c r="H10" s="118">
        <f>G10*100/60+0.01</f>
        <v>440833.3433333333</v>
      </c>
    </row>
    <row r="11" spans="1:8" s="112" customFormat="1" ht="30">
      <c r="A11" s="115" t="s">
        <v>231</v>
      </c>
      <c r="B11" s="116" t="s">
        <v>232</v>
      </c>
      <c r="C11" s="117">
        <v>139900</v>
      </c>
      <c r="D11" s="118">
        <f>C11*100/60</f>
        <v>233166.66666666666</v>
      </c>
      <c r="E11" s="117">
        <v>144700</v>
      </c>
      <c r="F11" s="118">
        <f>E11*100/60</f>
        <v>241166.66666666666</v>
      </c>
      <c r="G11" s="117">
        <v>150500</v>
      </c>
      <c r="H11" s="118">
        <f>G11*100/60+0.01</f>
        <v>250833.34333333335</v>
      </c>
    </row>
    <row r="12" spans="1:8" s="119" customFormat="1" ht="24.75" customHeight="1">
      <c r="A12" s="129" t="s">
        <v>117</v>
      </c>
      <c r="B12" s="130"/>
      <c r="C12" s="118"/>
      <c r="D12" s="118">
        <f>D8+D9+D10+D11</f>
        <v>9916666.676666666</v>
      </c>
      <c r="E12" s="118"/>
      <c r="F12" s="118">
        <f>F8+F9+F10+F11+0.01</f>
        <v>10253833.353333334</v>
      </c>
      <c r="G12" s="118"/>
      <c r="H12" s="118">
        <f>H8+H9+H10+H11-0.01</f>
        <v>10664166.686666667</v>
      </c>
    </row>
  </sheetData>
  <sheetProtection/>
  <mergeCells count="7">
    <mergeCell ref="A12:B12"/>
    <mergeCell ref="A3:H3"/>
    <mergeCell ref="A5:A6"/>
    <mergeCell ref="B5:B6"/>
    <mergeCell ref="C5:D5"/>
    <mergeCell ref="E5:F5"/>
    <mergeCell ref="G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27.28125" style="0" customWidth="1"/>
    <col min="2" max="2" width="5.421875" style="0" customWidth="1"/>
    <col min="3" max="3" width="19.421875" style="0" customWidth="1"/>
    <col min="4" max="4" width="18.421875" style="0" customWidth="1"/>
    <col min="5" max="5" width="12.57421875" style="0" customWidth="1"/>
    <col min="6" max="6" width="19.00390625" style="0" customWidth="1"/>
    <col min="7" max="7" width="13.421875" style="0" customWidth="1"/>
    <col min="8" max="8" width="19.140625" style="0" customWidth="1"/>
    <col min="9" max="9" width="11.00390625" style="0" customWidth="1"/>
  </cols>
  <sheetData>
    <row r="1" spans="8:9" ht="12.75">
      <c r="H1" s="133" t="s">
        <v>105</v>
      </c>
      <c r="I1" s="133"/>
    </row>
    <row r="3" spans="1:9" s="31" customFormat="1" ht="36" customHeight="1">
      <c r="A3" s="134" t="s">
        <v>187</v>
      </c>
      <c r="B3" s="134"/>
      <c r="C3" s="134"/>
      <c r="D3" s="134"/>
      <c r="E3" s="134"/>
      <c r="F3" s="134"/>
      <c r="G3" s="134"/>
      <c r="H3" s="134"/>
      <c r="I3" s="134"/>
    </row>
    <row r="4" spans="8:9" ht="12.75">
      <c r="H4" s="135" t="s">
        <v>190</v>
      </c>
      <c r="I4" s="135"/>
    </row>
    <row r="5" spans="1:9" ht="12.75">
      <c r="A5" s="136" t="s">
        <v>16</v>
      </c>
      <c r="B5" s="137" t="s">
        <v>74</v>
      </c>
      <c r="C5" s="138" t="s">
        <v>188</v>
      </c>
      <c r="D5" s="140" t="s">
        <v>54</v>
      </c>
      <c r="E5" s="140"/>
      <c r="F5" s="140" t="s">
        <v>61</v>
      </c>
      <c r="G5" s="140"/>
      <c r="H5" s="140" t="s">
        <v>191</v>
      </c>
      <c r="I5" s="140"/>
    </row>
    <row r="6" spans="1:9" ht="38.25">
      <c r="A6" s="136"/>
      <c r="B6" s="137"/>
      <c r="C6" s="139"/>
      <c r="D6" s="16" t="s">
        <v>75</v>
      </c>
      <c r="E6" s="16" t="s">
        <v>76</v>
      </c>
      <c r="F6" s="16" t="s">
        <v>75</v>
      </c>
      <c r="G6" s="16" t="s">
        <v>76</v>
      </c>
      <c r="H6" s="16" t="s">
        <v>75</v>
      </c>
      <c r="I6" s="16" t="s">
        <v>77</v>
      </c>
    </row>
    <row r="7" spans="1:9" ht="24" customHeight="1">
      <c r="A7" s="33" t="s">
        <v>103</v>
      </c>
      <c r="B7" s="34"/>
      <c r="C7" s="72">
        <f>SUM(C12:C22)</f>
        <v>2845648437.9100003</v>
      </c>
      <c r="D7" s="41">
        <f>SUM(D12:D22)</f>
        <v>2735255970.0399995</v>
      </c>
      <c r="E7" s="41">
        <f>D7/C7*100</f>
        <v>96.1206568457529</v>
      </c>
      <c r="F7" s="41">
        <f>F10+F9</f>
        <v>2570144298.6400003</v>
      </c>
      <c r="G7" s="41">
        <f>F7/D7*100</f>
        <v>93.96357513854235</v>
      </c>
      <c r="H7" s="41">
        <f>H9+H10</f>
        <v>2649224628.2</v>
      </c>
      <c r="I7" s="41">
        <f>H7/F7*100</f>
        <v>103.07688286614277</v>
      </c>
    </row>
    <row r="8" spans="1:9" s="39" customFormat="1" ht="49.5" customHeight="1">
      <c r="A8" s="37" t="s">
        <v>186</v>
      </c>
      <c r="B8" s="38"/>
      <c r="C8" s="73">
        <f>C7-1017465275.43</f>
        <v>1828183162.4800005</v>
      </c>
      <c r="D8" s="42">
        <v>1137108151.43</v>
      </c>
      <c r="E8" s="41">
        <f>D8/C8*100</f>
        <v>62.198808892182846</v>
      </c>
      <c r="F8" s="42">
        <v>1049924559.15</v>
      </c>
      <c r="G8" s="41">
        <f>F8/D8*100</f>
        <v>92.33286717975243</v>
      </c>
      <c r="H8" s="42">
        <v>1086617052.33</v>
      </c>
      <c r="I8" s="41">
        <f>H8/F8*100</f>
        <v>103.49477425403836</v>
      </c>
    </row>
    <row r="9" spans="1:9" s="46" customFormat="1" ht="36" customHeight="1">
      <c r="A9" s="43" t="s">
        <v>79</v>
      </c>
      <c r="B9" s="44"/>
      <c r="C9" s="74">
        <v>0</v>
      </c>
      <c r="D9" s="45">
        <v>0</v>
      </c>
      <c r="E9" s="45"/>
      <c r="F9" s="45">
        <v>38005500</v>
      </c>
      <c r="G9" s="45"/>
      <c r="H9" s="45">
        <v>78130380</v>
      </c>
      <c r="I9" s="45"/>
    </row>
    <row r="10" spans="1:9" ht="38.25">
      <c r="A10" s="33" t="s">
        <v>80</v>
      </c>
      <c r="B10" s="34"/>
      <c r="C10" s="72">
        <f>C7-C9</f>
        <v>2845648437.9100003</v>
      </c>
      <c r="D10" s="41">
        <f>D7-D9</f>
        <v>2735255970.0399995</v>
      </c>
      <c r="E10" s="41">
        <f>D10/C10*100</f>
        <v>96.1206568457529</v>
      </c>
      <c r="F10" s="41">
        <f>SUM(F12:F22)</f>
        <v>2532138798.6400003</v>
      </c>
      <c r="G10" s="41">
        <f>F10/D10*100</f>
        <v>92.57410737332094</v>
      </c>
      <c r="H10" s="41">
        <f>SUM(H12:H22)</f>
        <v>2571094248.2</v>
      </c>
      <c r="I10" s="41">
        <f>H10/F10*100</f>
        <v>101.53844053023168</v>
      </c>
    </row>
    <row r="11" spans="1:9" ht="12.75">
      <c r="A11" s="32" t="s">
        <v>81</v>
      </c>
      <c r="B11" s="16"/>
      <c r="C11" s="75"/>
      <c r="D11" s="40"/>
      <c r="E11" s="40"/>
      <c r="F11" s="40"/>
      <c r="G11" s="40"/>
      <c r="H11" s="40"/>
      <c r="I11" s="40"/>
    </row>
    <row r="12" spans="1:9" ht="21" customHeight="1">
      <c r="A12" s="32" t="s">
        <v>104</v>
      </c>
      <c r="B12" s="36" t="s">
        <v>92</v>
      </c>
      <c r="C12" s="75">
        <v>252970168.25</v>
      </c>
      <c r="D12" s="40">
        <v>248772330.31</v>
      </c>
      <c r="E12" s="40">
        <f aca="true" t="shared" si="0" ref="E12:E22">D12/C12*100</f>
        <v>98.34057985214626</v>
      </c>
      <c r="F12" s="40">
        <v>245488658.01</v>
      </c>
      <c r="G12" s="40">
        <f>F12/D12*100</f>
        <v>98.68004922576873</v>
      </c>
      <c r="H12" s="40">
        <v>254250037.12</v>
      </c>
      <c r="I12" s="40">
        <f>H12/F12*100</f>
        <v>103.56895474561725</v>
      </c>
    </row>
    <row r="13" spans="1:9" ht="38.25">
      <c r="A13" s="32" t="s">
        <v>82</v>
      </c>
      <c r="B13" s="36" t="s">
        <v>93</v>
      </c>
      <c r="C13" s="75">
        <v>44628929.59</v>
      </c>
      <c r="D13" s="40">
        <v>44518445.67</v>
      </c>
      <c r="E13" s="40">
        <f t="shared" si="0"/>
        <v>99.7524387857495</v>
      </c>
      <c r="F13" s="40">
        <v>45036599.5</v>
      </c>
      <c r="G13" s="40">
        <f aca="true" t="shared" si="1" ref="G13:I22">F13/D13*100</f>
        <v>101.16390817828838</v>
      </c>
      <c r="H13" s="40">
        <v>46433042.23</v>
      </c>
      <c r="I13" s="40">
        <f t="shared" si="1"/>
        <v>103.10068421129353</v>
      </c>
    </row>
    <row r="14" spans="1:9" ht="12.75">
      <c r="A14" s="32" t="s">
        <v>83</v>
      </c>
      <c r="B14" s="36" t="s">
        <v>94</v>
      </c>
      <c r="C14" s="75">
        <v>192844773.28</v>
      </c>
      <c r="D14" s="40">
        <v>206311100.15</v>
      </c>
      <c r="E14" s="40">
        <f t="shared" si="0"/>
        <v>106.98298773721373</v>
      </c>
      <c r="F14" s="40">
        <v>163386121.94</v>
      </c>
      <c r="G14" s="40">
        <f t="shared" si="1"/>
        <v>79.19405297204509</v>
      </c>
      <c r="H14" s="40">
        <v>164669912.51</v>
      </c>
      <c r="I14" s="40">
        <f t="shared" si="1"/>
        <v>100.78574027876826</v>
      </c>
    </row>
    <row r="15" spans="1:9" ht="25.5">
      <c r="A15" s="32" t="s">
        <v>84</v>
      </c>
      <c r="B15" s="36" t="s">
        <v>95</v>
      </c>
      <c r="C15" s="75">
        <v>194502775.74</v>
      </c>
      <c r="D15" s="40">
        <v>175939167.64</v>
      </c>
      <c r="E15" s="40">
        <f t="shared" si="0"/>
        <v>90.45586468914215</v>
      </c>
      <c r="F15" s="40">
        <v>111674089.41</v>
      </c>
      <c r="G15" s="40">
        <f t="shared" si="1"/>
        <v>63.47312591503403</v>
      </c>
      <c r="H15" s="40">
        <v>66762685.84</v>
      </c>
      <c r="I15" s="40">
        <f t="shared" si="1"/>
        <v>59.783505907881306</v>
      </c>
    </row>
    <row r="16" spans="1:9" ht="12.75">
      <c r="A16" s="32" t="s">
        <v>85</v>
      </c>
      <c r="B16" s="36" t="s">
        <v>96</v>
      </c>
      <c r="C16" s="75">
        <v>3048007.58</v>
      </c>
      <c r="D16" s="40">
        <v>3869696.4</v>
      </c>
      <c r="E16" s="40">
        <f t="shared" si="0"/>
        <v>126.95822757763612</v>
      </c>
      <c r="F16" s="40">
        <v>0</v>
      </c>
      <c r="G16" s="40">
        <v>0</v>
      </c>
      <c r="H16" s="40">
        <v>0</v>
      </c>
      <c r="I16" s="40">
        <v>100</v>
      </c>
    </row>
    <row r="17" spans="1:9" ht="18.75" customHeight="1">
      <c r="A17" s="32" t="s">
        <v>86</v>
      </c>
      <c r="B17" s="36" t="s">
        <v>97</v>
      </c>
      <c r="C17" s="75">
        <v>1820565038.03</v>
      </c>
      <c r="D17" s="40">
        <v>1722930771.62</v>
      </c>
      <c r="E17" s="40">
        <f t="shared" si="0"/>
        <v>94.63714482204666</v>
      </c>
      <c r="F17" s="40">
        <v>1657021412.08</v>
      </c>
      <c r="G17" s="40">
        <f t="shared" si="1"/>
        <v>96.17457876859277</v>
      </c>
      <c r="H17" s="40">
        <v>1720297478.39</v>
      </c>
      <c r="I17" s="40">
        <f t="shared" si="1"/>
        <v>103.81866316564805</v>
      </c>
    </row>
    <row r="18" spans="1:9" ht="12.75">
      <c r="A18" s="32" t="s">
        <v>87</v>
      </c>
      <c r="B18" s="36" t="s">
        <v>98</v>
      </c>
      <c r="C18" s="75">
        <v>242744828.78</v>
      </c>
      <c r="D18" s="40">
        <v>228605820.2</v>
      </c>
      <c r="E18" s="40">
        <f t="shared" si="0"/>
        <v>94.17536157163035</v>
      </c>
      <c r="F18" s="40">
        <v>204475324.65</v>
      </c>
      <c r="G18" s="40">
        <f t="shared" si="1"/>
        <v>89.44449641356944</v>
      </c>
      <c r="H18" s="40">
        <v>212867019.72</v>
      </c>
      <c r="I18" s="40">
        <f t="shared" si="1"/>
        <v>104.1040135695415</v>
      </c>
    </row>
    <row r="19" spans="1:9" ht="12.75">
      <c r="A19" s="32" t="s">
        <v>88</v>
      </c>
      <c r="B19" s="36" t="s">
        <v>99</v>
      </c>
      <c r="C19" s="75">
        <v>72501148.45</v>
      </c>
      <c r="D19" s="40">
        <v>75306170.95</v>
      </c>
      <c r="E19" s="40">
        <f t="shared" si="0"/>
        <v>103.86893526512131</v>
      </c>
      <c r="F19" s="40">
        <v>75869621.67</v>
      </c>
      <c r="G19" s="40">
        <f t="shared" si="1"/>
        <v>100.74821321133709</v>
      </c>
      <c r="H19" s="40">
        <v>76594429.68</v>
      </c>
      <c r="I19" s="40">
        <f t="shared" si="1"/>
        <v>100.9553336289887</v>
      </c>
    </row>
    <row r="20" spans="1:9" ht="12.75">
      <c r="A20" s="32" t="s">
        <v>89</v>
      </c>
      <c r="B20" s="36" t="s">
        <v>100</v>
      </c>
      <c r="C20" s="75">
        <v>1120700.61</v>
      </c>
      <c r="D20" s="40">
        <v>1200000</v>
      </c>
      <c r="E20" s="40">
        <f t="shared" si="0"/>
        <v>107.07587640199463</v>
      </c>
      <c r="F20" s="40">
        <v>1300000</v>
      </c>
      <c r="G20" s="40">
        <f t="shared" si="1"/>
        <v>108.33333333333333</v>
      </c>
      <c r="H20" s="40">
        <v>1300000</v>
      </c>
      <c r="I20" s="40">
        <f t="shared" si="1"/>
        <v>100</v>
      </c>
    </row>
    <row r="21" spans="1:9" ht="25.5">
      <c r="A21" s="32" t="s">
        <v>90</v>
      </c>
      <c r="B21" s="36" t="s">
        <v>101</v>
      </c>
      <c r="C21" s="75">
        <v>4035067.43</v>
      </c>
      <c r="D21" s="40">
        <v>4694691.74</v>
      </c>
      <c r="E21" s="40">
        <f t="shared" si="0"/>
        <v>116.34729335861434</v>
      </c>
      <c r="F21" s="40">
        <v>4778920.55</v>
      </c>
      <c r="G21" s="40">
        <f t="shared" si="1"/>
        <v>101.79412865987234</v>
      </c>
      <c r="H21" s="40">
        <v>4813630.29</v>
      </c>
      <c r="I21" s="40">
        <f t="shared" si="1"/>
        <v>100.72630920804909</v>
      </c>
    </row>
    <row r="22" spans="1:9" ht="38.25">
      <c r="A22" s="32" t="s">
        <v>91</v>
      </c>
      <c r="B22" s="36" t="s">
        <v>102</v>
      </c>
      <c r="C22" s="75">
        <v>16687000.17</v>
      </c>
      <c r="D22" s="40">
        <v>23107775.36</v>
      </c>
      <c r="E22" s="40">
        <f t="shared" si="0"/>
        <v>138.4777079438359</v>
      </c>
      <c r="F22" s="40">
        <v>23108050.83</v>
      </c>
      <c r="G22" s="40">
        <f t="shared" si="1"/>
        <v>100.00119210956359</v>
      </c>
      <c r="H22" s="40">
        <v>23106012.42</v>
      </c>
      <c r="I22" s="40">
        <f t="shared" si="1"/>
        <v>99.99117878866119</v>
      </c>
    </row>
    <row r="23" spans="3:9" ht="12.75">
      <c r="C23" s="35"/>
      <c r="D23" s="35"/>
      <c r="E23" s="35"/>
      <c r="F23" s="35"/>
      <c r="G23" s="35"/>
      <c r="H23" s="35"/>
      <c r="I23" s="35"/>
    </row>
    <row r="24" spans="4:9" ht="12.75">
      <c r="D24" s="35"/>
      <c r="E24" s="35"/>
      <c r="F24" s="35"/>
      <c r="G24" s="35"/>
      <c r="H24" s="35"/>
      <c r="I24" s="35"/>
    </row>
    <row r="25" spans="1:5" ht="12.75">
      <c r="A25" s="71" t="s">
        <v>189</v>
      </c>
      <c r="E25" s="47"/>
    </row>
    <row r="26" spans="6:8" ht="12.75">
      <c r="F26" s="47"/>
      <c r="H26" s="47"/>
    </row>
  </sheetData>
  <sheetProtection/>
  <mergeCells count="9">
    <mergeCell ref="H1:I1"/>
    <mergeCell ref="A3:I3"/>
    <mergeCell ref="H4:I4"/>
    <mergeCell ref="A5:A6"/>
    <mergeCell ref="B5:B6"/>
    <mergeCell ref="C5:C6"/>
    <mergeCell ref="D5:E5"/>
    <mergeCell ref="F5:G5"/>
    <mergeCell ref="H5:I5"/>
  </mergeCells>
  <printOptions/>
  <pageMargins left="0.47" right="0.44" top="0.65" bottom="1" header="0.61" footer="0.5"/>
  <pageSetup fitToHeight="3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4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8.28125" style="48" customWidth="1"/>
    <col min="2" max="2" width="14.57421875" style="76" customWidth="1"/>
    <col min="3" max="3" width="14.28125" style="48" customWidth="1"/>
    <col min="4" max="4" width="11.28125" style="48" customWidth="1"/>
    <col min="5" max="5" width="13.7109375" style="48" customWidth="1"/>
    <col min="6" max="6" width="11.421875" style="48" customWidth="1"/>
    <col min="7" max="7" width="14.421875" style="48" customWidth="1"/>
    <col min="8" max="8" width="11.00390625" style="48" customWidth="1"/>
    <col min="9" max="16384" width="9.140625" style="48" customWidth="1"/>
  </cols>
  <sheetData>
    <row r="1" spans="7:8" ht="12.75">
      <c r="G1" s="141" t="s">
        <v>110</v>
      </c>
      <c r="H1" s="141"/>
    </row>
    <row r="3" spans="1:8" s="49" customFormat="1" ht="36" customHeight="1">
      <c r="A3" s="142" t="s">
        <v>192</v>
      </c>
      <c r="B3" s="142"/>
      <c r="C3" s="142"/>
      <c r="D3" s="142"/>
      <c r="E3" s="142"/>
      <c r="F3" s="142"/>
      <c r="G3" s="142"/>
      <c r="H3" s="142"/>
    </row>
    <row r="4" spans="7:8" ht="12.75">
      <c r="G4" s="143" t="s">
        <v>106</v>
      </c>
      <c r="H4" s="143"/>
    </row>
    <row r="5" spans="1:8" ht="12.75">
      <c r="A5" s="144" t="s">
        <v>16</v>
      </c>
      <c r="B5" s="145" t="s">
        <v>188</v>
      </c>
      <c r="C5" s="146" t="s">
        <v>54</v>
      </c>
      <c r="D5" s="146"/>
      <c r="E5" s="146" t="s">
        <v>61</v>
      </c>
      <c r="F5" s="146"/>
      <c r="G5" s="146" t="s">
        <v>191</v>
      </c>
      <c r="H5" s="146"/>
    </row>
    <row r="6" spans="1:8" ht="38.25">
      <c r="A6" s="144"/>
      <c r="B6" s="145"/>
      <c r="C6" s="51" t="s">
        <v>75</v>
      </c>
      <c r="D6" s="51" t="s">
        <v>76</v>
      </c>
      <c r="E6" s="51" t="s">
        <v>75</v>
      </c>
      <c r="F6" s="51" t="s">
        <v>76</v>
      </c>
      <c r="G6" s="51" t="s">
        <v>75</v>
      </c>
      <c r="H6" s="51" t="s">
        <v>77</v>
      </c>
    </row>
    <row r="7" spans="1:8" ht="12.75">
      <c r="A7" s="50" t="s">
        <v>78</v>
      </c>
      <c r="B7" s="77">
        <f>SUM(B8:B11)</f>
        <v>82094719.5</v>
      </c>
      <c r="C7" s="52">
        <f>SUM(C8:C11)</f>
        <v>83455837.63000001</v>
      </c>
      <c r="D7" s="52">
        <f>C7/B7*100</f>
        <v>101.65798499378515</v>
      </c>
      <c r="E7" s="52">
        <f>SUM(E8:E11)</f>
        <v>85416888.56</v>
      </c>
      <c r="F7" s="52">
        <f>E7/C7*100</f>
        <v>102.349806778879</v>
      </c>
      <c r="G7" s="52">
        <f>SUM(G8:G11)</f>
        <v>89157964.38</v>
      </c>
      <c r="H7" s="52">
        <f>G7/E7*100</f>
        <v>104.37978470425332</v>
      </c>
    </row>
    <row r="8" spans="1:8" ht="38.25">
      <c r="A8" s="53" t="s">
        <v>193</v>
      </c>
      <c r="B8" s="78">
        <v>46948248.54</v>
      </c>
      <c r="C8" s="54">
        <v>47585851.75</v>
      </c>
      <c r="D8" s="54">
        <f>C8/B8*100</f>
        <v>101.35809796920701</v>
      </c>
      <c r="E8" s="54">
        <v>49067454.22</v>
      </c>
      <c r="F8" s="54">
        <f aca="true" t="shared" si="0" ref="F8:H11">E8/C8*100</f>
        <v>103.11353567397268</v>
      </c>
      <c r="G8" s="54">
        <v>51474064.11</v>
      </c>
      <c r="H8" s="54">
        <f t="shared" si="0"/>
        <v>104.90469686731589</v>
      </c>
    </row>
    <row r="9" spans="1:8" ht="63.75">
      <c r="A9" s="53" t="s">
        <v>107</v>
      </c>
      <c r="B9" s="78">
        <v>11013810.81</v>
      </c>
      <c r="C9" s="54">
        <v>11012014.09</v>
      </c>
      <c r="D9" s="54">
        <f>C9/B9*100</f>
        <v>99.98368666367168</v>
      </c>
      <c r="E9" s="54">
        <v>12002834.15</v>
      </c>
      <c r="F9" s="54">
        <f t="shared" si="0"/>
        <v>108.99762797161479</v>
      </c>
      <c r="G9" s="54">
        <v>12437169.44</v>
      </c>
      <c r="H9" s="54">
        <f t="shared" si="0"/>
        <v>103.6186061106243</v>
      </c>
    </row>
    <row r="10" spans="1:8" ht="63.75">
      <c r="A10" s="53" t="s">
        <v>108</v>
      </c>
      <c r="B10" s="78">
        <v>17911459.51</v>
      </c>
      <c r="C10" s="54">
        <v>18624439.5</v>
      </c>
      <c r="D10" s="54">
        <f>C10/B10*100</f>
        <v>103.98058008395094</v>
      </c>
      <c r="E10" s="54">
        <v>17638676.1</v>
      </c>
      <c r="F10" s="54">
        <f t="shared" si="0"/>
        <v>94.70715132125184</v>
      </c>
      <c r="G10" s="54">
        <v>18288151.96</v>
      </c>
      <c r="H10" s="54">
        <f t="shared" si="0"/>
        <v>103.68211228732751</v>
      </c>
    </row>
    <row r="11" spans="1:8" ht="89.25">
      <c r="A11" s="53" t="s">
        <v>109</v>
      </c>
      <c r="B11" s="78">
        <v>6221200.64</v>
      </c>
      <c r="C11" s="54">
        <v>6233532.29</v>
      </c>
      <c r="D11" s="54">
        <f>C11/B11*100</f>
        <v>100.19821977643211</v>
      </c>
      <c r="E11" s="54">
        <v>6707924.09</v>
      </c>
      <c r="F11" s="54">
        <f t="shared" si="0"/>
        <v>107.61032072876291</v>
      </c>
      <c r="G11" s="54">
        <v>6958578.87</v>
      </c>
      <c r="H11" s="54">
        <f t="shared" si="0"/>
        <v>103.73669672818258</v>
      </c>
    </row>
    <row r="12" spans="2:8" ht="12.75">
      <c r="B12" s="79"/>
      <c r="C12" s="55"/>
      <c r="D12" s="55"/>
      <c r="E12" s="55"/>
      <c r="F12" s="55"/>
      <c r="G12" s="55"/>
      <c r="H12" s="55"/>
    </row>
    <row r="13" spans="3:8" ht="12.75">
      <c r="C13" s="55"/>
      <c r="D13" s="55"/>
      <c r="E13" s="55"/>
      <c r="F13" s="55"/>
      <c r="G13" s="55"/>
      <c r="H13" s="55"/>
    </row>
    <row r="14" ht="12.75">
      <c r="A14" s="56" t="s">
        <v>189</v>
      </c>
    </row>
  </sheetData>
  <sheetProtection/>
  <mergeCells count="8">
    <mergeCell ref="G1:H1"/>
    <mergeCell ref="A3:H3"/>
    <mergeCell ref="G4:H4"/>
    <mergeCell ref="A5:A6"/>
    <mergeCell ref="B5:B6"/>
    <mergeCell ref="C5:D5"/>
    <mergeCell ref="E5:F5"/>
    <mergeCell ref="G5:H5"/>
  </mergeCells>
  <hyperlinks>
    <hyperlink ref="B5" location="_ftn1" display="_ftn1"/>
    <hyperlink ref="A14" location="_ftnref1" display="_ftnref1"/>
  </hyperlinks>
  <printOptions horizontalCentered="1"/>
  <pageMargins left="0.3937007874015748" right="0.2362204724409449" top="0.4330708661417323" bottom="0.984251968503937" header="0.4724409448818898" footer="0.5118110236220472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0"/>
  <sheetViews>
    <sheetView view="pageBreakPreview" zoomScale="60" zoomScalePageLayoutView="0" workbookViewId="0" topLeftCell="A1">
      <selection activeCell="P33" sqref="P33"/>
    </sheetView>
  </sheetViews>
  <sheetFormatPr defaultColWidth="34.421875" defaultRowHeight="12.75"/>
  <cols>
    <col min="1" max="1" width="38.28125" style="80" customWidth="1"/>
    <col min="2" max="2" width="21.28125" style="80" customWidth="1"/>
    <col min="3" max="3" width="19.421875" style="80" customWidth="1"/>
    <col min="4" max="4" width="16.28125" style="80" customWidth="1"/>
    <col min="5" max="5" width="13.7109375" style="80" hidden="1" customWidth="1"/>
    <col min="6" max="7" width="9.140625" style="80" customWidth="1"/>
    <col min="8" max="8" width="11.57421875" style="80" customWidth="1"/>
    <col min="9" max="9" width="10.140625" style="80" hidden="1" customWidth="1"/>
    <col min="10" max="10" width="12.57421875" style="80" customWidth="1"/>
    <col min="11" max="11" width="10.140625" style="80" customWidth="1"/>
    <col min="12" max="12" width="13.28125" style="80" customWidth="1"/>
    <col min="13" max="13" width="15.8515625" style="80" customWidth="1"/>
    <col min="14" max="14" width="15.57421875" style="80" customWidth="1"/>
    <col min="15" max="15" width="15.28125" style="80" customWidth="1"/>
    <col min="16" max="16384" width="34.421875" style="80" customWidth="1"/>
  </cols>
  <sheetData>
    <row r="1" spans="13:15" ht="31.5" customHeight="1">
      <c r="M1" s="150" t="s">
        <v>111</v>
      </c>
      <c r="N1" s="150"/>
      <c r="O1" s="150"/>
    </row>
    <row r="2" spans="1:15" ht="30" customHeight="1">
      <c r="A2" s="151" t="s">
        <v>206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4" spans="1:15" ht="41.25" customHeight="1">
      <c r="A4" s="152" t="s">
        <v>112</v>
      </c>
      <c r="B4" s="152" t="s">
        <v>113</v>
      </c>
      <c r="C4" s="152" t="s">
        <v>114</v>
      </c>
      <c r="D4" s="152" t="s">
        <v>115</v>
      </c>
      <c r="E4" s="152" t="s">
        <v>116</v>
      </c>
      <c r="F4" s="152"/>
      <c r="G4" s="152"/>
      <c r="H4" s="152"/>
      <c r="I4" s="152" t="s">
        <v>194</v>
      </c>
      <c r="J4" s="152"/>
      <c r="K4" s="152"/>
      <c r="L4" s="152"/>
      <c r="M4" s="152" t="s">
        <v>207</v>
      </c>
      <c r="N4" s="152"/>
      <c r="O4" s="152"/>
    </row>
    <row r="5" spans="1:15" ht="41.25" customHeight="1">
      <c r="A5" s="152"/>
      <c r="B5" s="152"/>
      <c r="C5" s="152"/>
      <c r="D5" s="152"/>
      <c r="E5" s="81">
        <v>2019</v>
      </c>
      <c r="F5" s="81">
        <v>2020</v>
      </c>
      <c r="G5" s="81">
        <v>2021</v>
      </c>
      <c r="H5" s="81">
        <v>2022</v>
      </c>
      <c r="I5" s="81">
        <v>2019</v>
      </c>
      <c r="J5" s="81">
        <v>2020</v>
      </c>
      <c r="K5" s="81">
        <v>2021</v>
      </c>
      <c r="L5" s="81">
        <v>2022</v>
      </c>
      <c r="M5" s="81">
        <v>2020</v>
      </c>
      <c r="N5" s="81">
        <v>2021</v>
      </c>
      <c r="O5" s="81">
        <v>2022</v>
      </c>
    </row>
    <row r="6" spans="1:15" ht="75">
      <c r="A6" s="82" t="s">
        <v>195</v>
      </c>
      <c r="B6" s="81" t="s">
        <v>196</v>
      </c>
      <c r="C6" s="83">
        <v>217800000</v>
      </c>
      <c r="D6" s="84">
        <v>9.93851</v>
      </c>
      <c r="E6" s="85">
        <v>365</v>
      </c>
      <c r="F6" s="85">
        <v>366</v>
      </c>
      <c r="G6" s="85">
        <v>365</v>
      </c>
      <c r="H6" s="85">
        <v>365</v>
      </c>
      <c r="I6" s="85">
        <v>197</v>
      </c>
      <c r="J6" s="85">
        <v>366</v>
      </c>
      <c r="K6" s="85">
        <v>365</v>
      </c>
      <c r="L6" s="85">
        <v>365</v>
      </c>
      <c r="M6" s="83">
        <f>ROUND(C6*D6/100/F6*J6,2)</f>
        <v>21646074.78</v>
      </c>
      <c r="N6" s="83"/>
      <c r="O6" s="83"/>
    </row>
    <row r="7" spans="1:15" ht="48" customHeight="1">
      <c r="A7" s="82" t="s">
        <v>197</v>
      </c>
      <c r="B7" s="81" t="s">
        <v>198</v>
      </c>
      <c r="C7" s="83">
        <f>275050000-C6</f>
        <v>57250000</v>
      </c>
      <c r="D7" s="84">
        <v>9.797644075379177</v>
      </c>
      <c r="E7" s="85">
        <v>365</v>
      </c>
      <c r="F7" s="85">
        <v>366</v>
      </c>
      <c r="G7" s="85">
        <v>365</v>
      </c>
      <c r="H7" s="85">
        <v>365</v>
      </c>
      <c r="I7" s="85">
        <v>0</v>
      </c>
      <c r="J7" s="85">
        <v>92</v>
      </c>
      <c r="K7" s="85">
        <v>365</v>
      </c>
      <c r="L7" s="85">
        <v>365</v>
      </c>
      <c r="M7" s="83">
        <f>ROUND(C7*D7/100/F7*J7,2)</f>
        <v>1409950.58</v>
      </c>
      <c r="N7" s="83"/>
      <c r="O7" s="83"/>
    </row>
    <row r="8" spans="1:15" ht="48" customHeight="1">
      <c r="A8" s="82" t="s">
        <v>199</v>
      </c>
      <c r="B8" s="81" t="s">
        <v>200</v>
      </c>
      <c r="C8" s="83">
        <v>282300000</v>
      </c>
      <c r="D8" s="84">
        <v>8.180499762663832</v>
      </c>
      <c r="E8" s="85">
        <v>365</v>
      </c>
      <c r="F8" s="85">
        <v>366</v>
      </c>
      <c r="G8" s="85">
        <v>365</v>
      </c>
      <c r="H8" s="85">
        <v>365</v>
      </c>
      <c r="I8" s="85">
        <v>0</v>
      </c>
      <c r="J8" s="85">
        <v>0</v>
      </c>
      <c r="K8" s="85">
        <v>365</v>
      </c>
      <c r="L8" s="85">
        <v>0</v>
      </c>
      <c r="M8" s="83"/>
      <c r="N8" s="83">
        <f>ROUND(C8*D8/100/G8*K8,2)</f>
        <v>23093550.83</v>
      </c>
      <c r="O8" s="83"/>
    </row>
    <row r="9" spans="1:15" ht="48" customHeight="1">
      <c r="A9" s="82" t="s">
        <v>201</v>
      </c>
      <c r="B9" s="81" t="s">
        <v>202</v>
      </c>
      <c r="C9" s="83">
        <v>289550000</v>
      </c>
      <c r="D9" s="84">
        <v>7.977469321360731</v>
      </c>
      <c r="E9" s="85">
        <v>365</v>
      </c>
      <c r="F9" s="85">
        <v>366</v>
      </c>
      <c r="G9" s="85">
        <v>365</v>
      </c>
      <c r="H9" s="85">
        <v>365</v>
      </c>
      <c r="I9" s="85"/>
      <c r="J9" s="85">
        <v>0</v>
      </c>
      <c r="K9" s="85">
        <v>0</v>
      </c>
      <c r="L9" s="85">
        <v>365</v>
      </c>
      <c r="M9" s="83"/>
      <c r="N9" s="83"/>
      <c r="O9" s="83">
        <f>ROUND(C9*D9/100/H9*L9,2)</f>
        <v>23098762.42</v>
      </c>
    </row>
    <row r="10" spans="1:15" ht="47.25" customHeight="1">
      <c r="A10" s="82" t="s">
        <v>203</v>
      </c>
      <c r="B10" s="81" t="s">
        <v>204</v>
      </c>
      <c r="C10" s="83">
        <v>21750000</v>
      </c>
      <c r="D10" s="84">
        <v>0.1</v>
      </c>
      <c r="E10" s="85">
        <v>365</v>
      </c>
      <c r="F10" s="85">
        <v>366</v>
      </c>
      <c r="G10" s="85">
        <v>365</v>
      </c>
      <c r="H10" s="85">
        <v>365</v>
      </c>
      <c r="I10" s="85">
        <v>273</v>
      </c>
      <c r="J10" s="85">
        <v>366</v>
      </c>
      <c r="K10" s="85">
        <v>365</v>
      </c>
      <c r="L10" s="85">
        <v>365</v>
      </c>
      <c r="M10" s="83">
        <f>ROUND(C10*D10/100/F10*J10,2)</f>
        <v>21750</v>
      </c>
      <c r="N10" s="83">
        <f>ROUND((C10-7250000)*D10/100/G10*K10,2)</f>
        <v>14500</v>
      </c>
      <c r="O10" s="83">
        <f>ROUND((C10-7250000-7250000)*D10/100/H10*L10,2)</f>
        <v>7250</v>
      </c>
    </row>
    <row r="11" spans="1:15" ht="53.25" customHeight="1">
      <c r="A11" s="82" t="s">
        <v>203</v>
      </c>
      <c r="B11" s="81" t="s">
        <v>205</v>
      </c>
      <c r="C11" s="83">
        <v>30000000</v>
      </c>
      <c r="D11" s="84">
        <v>0.1</v>
      </c>
      <c r="E11" s="85">
        <v>365</v>
      </c>
      <c r="F11" s="85">
        <v>366</v>
      </c>
      <c r="G11" s="85">
        <v>365</v>
      </c>
      <c r="H11" s="85">
        <v>365</v>
      </c>
      <c r="I11" s="85">
        <v>365</v>
      </c>
      <c r="J11" s="85">
        <v>366</v>
      </c>
      <c r="K11" s="85">
        <v>0</v>
      </c>
      <c r="L11" s="85">
        <v>0</v>
      </c>
      <c r="M11" s="83">
        <f>ROUND(C11*D11/100/F11*J11,2)</f>
        <v>30000</v>
      </c>
      <c r="N11" s="83">
        <v>0</v>
      </c>
      <c r="O11" s="83">
        <v>0</v>
      </c>
    </row>
    <row r="12" spans="1:15" ht="45" customHeight="1">
      <c r="A12" s="147" t="s">
        <v>117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9"/>
      <c r="M12" s="89">
        <f>SUM(M6:M11)</f>
        <v>23107775.36</v>
      </c>
      <c r="N12" s="89">
        <f>SUM(N6:N11)</f>
        <v>23108050.83</v>
      </c>
      <c r="O12" s="89">
        <f>SUM(O6:O11)</f>
        <v>23106012.42</v>
      </c>
    </row>
    <row r="13" spans="3:15" ht="15">
      <c r="C13" s="86"/>
      <c r="D13" s="87"/>
      <c r="E13" s="88"/>
      <c r="F13" s="88"/>
      <c r="G13" s="88"/>
      <c r="H13" s="88"/>
      <c r="I13" s="88"/>
      <c r="J13" s="88"/>
      <c r="K13" s="88"/>
      <c r="L13" s="88"/>
      <c r="M13" s="86"/>
      <c r="N13" s="86"/>
      <c r="O13" s="86"/>
    </row>
    <row r="14" spans="3:15" ht="41.25" customHeight="1">
      <c r="C14" s="86"/>
      <c r="D14" s="87"/>
      <c r="E14" s="88"/>
      <c r="F14" s="88"/>
      <c r="G14" s="88"/>
      <c r="H14" s="88"/>
      <c r="I14" s="88"/>
      <c r="J14" s="88"/>
      <c r="K14" s="88"/>
      <c r="L14" s="88"/>
      <c r="M14" s="86"/>
      <c r="N14" s="86"/>
      <c r="O14" s="86"/>
    </row>
    <row r="15" spans="3:15" ht="15">
      <c r="C15" s="86"/>
      <c r="D15" s="87"/>
      <c r="E15" s="88"/>
      <c r="F15" s="88"/>
      <c r="G15" s="88"/>
      <c r="H15" s="88"/>
      <c r="I15" s="88"/>
      <c r="J15" s="88"/>
      <c r="K15" s="88"/>
      <c r="L15" s="88"/>
      <c r="M15" s="86"/>
      <c r="N15" s="86"/>
      <c r="O15" s="86"/>
    </row>
    <row r="16" spans="3:15" ht="15">
      <c r="C16" s="86"/>
      <c r="D16" s="87"/>
      <c r="M16" s="86"/>
      <c r="N16" s="86"/>
      <c r="O16" s="86"/>
    </row>
    <row r="17" spans="3:15" ht="15">
      <c r="C17" s="86"/>
      <c r="D17" s="87"/>
      <c r="M17" s="86"/>
      <c r="N17" s="86"/>
      <c r="O17" s="86"/>
    </row>
    <row r="18" spans="3:15" ht="15">
      <c r="C18" s="86"/>
      <c r="D18" s="87"/>
      <c r="M18" s="86"/>
      <c r="N18" s="86"/>
      <c r="O18" s="86"/>
    </row>
    <row r="19" spans="3:4" ht="15">
      <c r="C19" s="86"/>
      <c r="D19" s="87"/>
    </row>
    <row r="20" spans="3:4" ht="15">
      <c r="C20" s="86"/>
      <c r="D20" s="87"/>
    </row>
  </sheetData>
  <sheetProtection/>
  <mergeCells count="10">
    <mergeCell ref="A12:L12"/>
    <mergeCell ref="M1:O1"/>
    <mergeCell ref="A2:O2"/>
    <mergeCell ref="A4:A5"/>
    <mergeCell ref="B4:B5"/>
    <mergeCell ref="C4:C5"/>
    <mergeCell ref="D4:D5"/>
    <mergeCell ref="E4:H4"/>
    <mergeCell ref="I4:L4"/>
    <mergeCell ref="M4:O4"/>
  </mergeCells>
  <printOptions/>
  <pageMargins left="0.1968503937007874" right="0.15748031496062992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7"/>
  <sheetViews>
    <sheetView tabSelected="1" zoomScalePageLayoutView="0" workbookViewId="0" topLeftCell="A1">
      <selection activeCell="A2" sqref="A2:G2"/>
    </sheetView>
  </sheetViews>
  <sheetFormatPr defaultColWidth="30.140625" defaultRowHeight="12.75"/>
  <cols>
    <col min="1" max="1" width="10.140625" style="57" bestFit="1" customWidth="1"/>
    <col min="2" max="2" width="49.421875" style="57" customWidth="1"/>
    <col min="3" max="3" width="17.57421875" style="57" customWidth="1"/>
    <col min="4" max="4" width="23.140625" style="57" customWidth="1"/>
    <col min="5" max="5" width="21.57421875" style="57" customWidth="1"/>
    <col min="6" max="6" width="21.28125" style="57" customWidth="1"/>
    <col min="7" max="7" width="19.421875" style="57" customWidth="1"/>
    <col min="8" max="10" width="7.00390625" style="57" customWidth="1"/>
    <col min="11" max="11" width="23.00390625" style="57" customWidth="1"/>
    <col min="12" max="13" width="18.00390625" style="57" customWidth="1"/>
    <col min="14" max="16384" width="30.140625" style="57" customWidth="1"/>
  </cols>
  <sheetData>
    <row r="1" spans="6:7" ht="15.75">
      <c r="F1" s="150" t="s">
        <v>208</v>
      </c>
      <c r="G1" s="150"/>
    </row>
    <row r="2" spans="1:13" ht="46.5" customHeight="1">
      <c r="A2" s="153" t="s">
        <v>209</v>
      </c>
      <c r="B2" s="153"/>
      <c r="C2" s="153"/>
      <c r="D2" s="153"/>
      <c r="E2" s="153"/>
      <c r="F2" s="153"/>
      <c r="G2" s="153"/>
      <c r="H2" s="59"/>
      <c r="I2" s="59"/>
      <c r="J2" s="59"/>
      <c r="K2" s="59"/>
      <c r="L2" s="59"/>
      <c r="M2" s="59"/>
    </row>
    <row r="4" spans="1:7" s="58" customFormat="1" ht="41.25" customHeight="1">
      <c r="A4" s="154" t="s">
        <v>118</v>
      </c>
      <c r="B4" s="154" t="s">
        <v>119</v>
      </c>
      <c r="C4" s="154" t="s">
        <v>120</v>
      </c>
      <c r="D4" s="154" t="s">
        <v>121</v>
      </c>
      <c r="E4" s="156" t="s">
        <v>122</v>
      </c>
      <c r="F4" s="156"/>
      <c r="G4" s="156"/>
    </row>
    <row r="5" spans="1:7" s="58" customFormat="1" ht="21.75" customHeight="1">
      <c r="A5" s="155"/>
      <c r="B5" s="155"/>
      <c r="C5" s="155"/>
      <c r="D5" s="155"/>
      <c r="E5" s="61">
        <v>2020</v>
      </c>
      <c r="F5" s="61">
        <v>2021</v>
      </c>
      <c r="G5" s="61">
        <v>2022</v>
      </c>
    </row>
    <row r="6" spans="1:7" s="58" customFormat="1" ht="31.5">
      <c r="A6" s="62" t="s">
        <v>123</v>
      </c>
      <c r="B6" s="63" t="s">
        <v>124</v>
      </c>
      <c r="C6" s="62" t="s">
        <v>125</v>
      </c>
      <c r="D6" s="64" t="s">
        <v>126</v>
      </c>
      <c r="E6" s="65">
        <f>E7-E11</f>
        <v>75250000</v>
      </c>
      <c r="F6" s="65">
        <f>F7-F11</f>
        <v>7250000</v>
      </c>
      <c r="G6" s="65">
        <f>G7-G11</f>
        <v>7250000</v>
      </c>
    </row>
    <row r="7" spans="1:7" s="58" customFormat="1" ht="47.25">
      <c r="A7" s="60" t="s">
        <v>127</v>
      </c>
      <c r="B7" s="66" t="s">
        <v>128</v>
      </c>
      <c r="C7" s="60" t="s">
        <v>129</v>
      </c>
      <c r="D7" s="154" t="s">
        <v>130</v>
      </c>
      <c r="E7" s="60">
        <f>E8-E9-E10</f>
        <v>275050000</v>
      </c>
      <c r="F7" s="60">
        <f>F8-F9-F10</f>
        <v>244300000</v>
      </c>
      <c r="G7" s="60">
        <f>G8-G9-G10</f>
        <v>251550000</v>
      </c>
    </row>
    <row r="8" spans="1:7" ht="47.25">
      <c r="A8" s="67" t="s">
        <v>131</v>
      </c>
      <c r="B8" s="68" t="s">
        <v>132</v>
      </c>
      <c r="C8" s="67" t="s">
        <v>133</v>
      </c>
      <c r="D8" s="160"/>
      <c r="E8" s="67">
        <f>199800000+37250000</f>
        <v>237050000</v>
      </c>
      <c r="F8" s="67">
        <f>E8+7250000</f>
        <v>244300000</v>
      </c>
      <c r="G8" s="67">
        <f>F8+7250000</f>
        <v>251550000</v>
      </c>
    </row>
    <row r="9" spans="1:7" ht="31.5">
      <c r="A9" s="67" t="s">
        <v>134</v>
      </c>
      <c r="B9" s="68" t="s">
        <v>135</v>
      </c>
      <c r="C9" s="67" t="s">
        <v>136</v>
      </c>
      <c r="D9" s="160"/>
      <c r="E9" s="67">
        <v>-38000000</v>
      </c>
      <c r="F9" s="67">
        <v>-86800000</v>
      </c>
      <c r="G9" s="67">
        <v>-64800000</v>
      </c>
    </row>
    <row r="10" spans="1:7" ht="78.75">
      <c r="A10" s="67" t="s">
        <v>137</v>
      </c>
      <c r="B10" s="68" t="s">
        <v>138</v>
      </c>
      <c r="C10" s="67" t="s">
        <v>139</v>
      </c>
      <c r="D10" s="155"/>
      <c r="E10" s="67">
        <v>0</v>
      </c>
      <c r="F10" s="67">
        <v>86800000</v>
      </c>
      <c r="G10" s="67">
        <v>64800000</v>
      </c>
    </row>
    <row r="11" spans="1:7" s="58" customFormat="1" ht="47.25">
      <c r="A11" s="60" t="s">
        <v>140</v>
      </c>
      <c r="B11" s="66" t="s">
        <v>141</v>
      </c>
      <c r="C11" s="60" t="s">
        <v>142</v>
      </c>
      <c r="D11" s="156" t="s">
        <v>143</v>
      </c>
      <c r="E11" s="60">
        <f>E12</f>
        <v>199800000</v>
      </c>
      <c r="F11" s="60">
        <f>F12</f>
        <v>237050000</v>
      </c>
      <c r="G11" s="60">
        <f>G12</f>
        <v>244300000</v>
      </c>
    </row>
    <row r="12" spans="1:7" ht="78.75">
      <c r="A12" s="67" t="s">
        <v>144</v>
      </c>
      <c r="B12" s="68" t="s">
        <v>145</v>
      </c>
      <c r="C12" s="67" t="s">
        <v>142</v>
      </c>
      <c r="D12" s="156"/>
      <c r="E12" s="67">
        <v>199800000</v>
      </c>
      <c r="F12" s="67">
        <f>E8</f>
        <v>237050000</v>
      </c>
      <c r="G12" s="67">
        <f>F8</f>
        <v>244300000</v>
      </c>
    </row>
    <row r="13" spans="1:7" s="58" customFormat="1" ht="47.25">
      <c r="A13" s="64" t="s">
        <v>146</v>
      </c>
      <c r="B13" s="63" t="s">
        <v>147</v>
      </c>
      <c r="C13" s="64" t="s">
        <v>148</v>
      </c>
      <c r="D13" s="64" t="s">
        <v>149</v>
      </c>
      <c r="E13" s="69">
        <f>E14-E16</f>
        <v>-37250000</v>
      </c>
      <c r="F13" s="69">
        <f>F14-F16</f>
        <v>-7250000</v>
      </c>
      <c r="G13" s="69">
        <f>G14-G16</f>
        <v>-7250000</v>
      </c>
    </row>
    <row r="14" spans="1:7" s="58" customFormat="1" ht="63">
      <c r="A14" s="60" t="s">
        <v>150</v>
      </c>
      <c r="B14" s="66" t="s">
        <v>151</v>
      </c>
      <c r="C14" s="60" t="s">
        <v>152</v>
      </c>
      <c r="D14" s="161" t="s">
        <v>153</v>
      </c>
      <c r="E14" s="60">
        <f>E15</f>
        <v>0</v>
      </c>
      <c r="F14" s="60">
        <f>F15</f>
        <v>0</v>
      </c>
      <c r="G14" s="60">
        <f>G15</f>
        <v>0</v>
      </c>
    </row>
    <row r="15" spans="1:7" ht="31.5">
      <c r="A15" s="67" t="s">
        <v>154</v>
      </c>
      <c r="B15" s="70" t="s">
        <v>155</v>
      </c>
      <c r="C15" s="67" t="s">
        <v>156</v>
      </c>
      <c r="D15" s="162"/>
      <c r="E15" s="67">
        <v>0</v>
      </c>
      <c r="F15" s="67">
        <v>0</v>
      </c>
      <c r="G15" s="67">
        <v>0</v>
      </c>
    </row>
    <row r="16" spans="1:7" s="58" customFormat="1" ht="47.25">
      <c r="A16" s="60" t="s">
        <v>157</v>
      </c>
      <c r="B16" s="66" t="s">
        <v>158</v>
      </c>
      <c r="C16" s="60" t="s">
        <v>159</v>
      </c>
      <c r="D16" s="161" t="s">
        <v>160</v>
      </c>
      <c r="E16" s="60">
        <f>E17</f>
        <v>37250000</v>
      </c>
      <c r="F16" s="60">
        <f>F17</f>
        <v>7250000</v>
      </c>
      <c r="G16" s="60">
        <f>G17</f>
        <v>7250000</v>
      </c>
    </row>
    <row r="17" spans="1:7" ht="78.75">
      <c r="A17" s="67" t="s">
        <v>161</v>
      </c>
      <c r="B17" s="68" t="s">
        <v>162</v>
      </c>
      <c r="C17" s="67" t="s">
        <v>159</v>
      </c>
      <c r="D17" s="162"/>
      <c r="E17" s="67">
        <v>37250000</v>
      </c>
      <c r="F17" s="67">
        <v>7250000</v>
      </c>
      <c r="G17" s="67">
        <v>7250000</v>
      </c>
    </row>
    <row r="18" spans="1:7" s="58" customFormat="1" ht="31.5">
      <c r="A18" s="64" t="s">
        <v>163</v>
      </c>
      <c r="B18" s="63" t="s">
        <v>164</v>
      </c>
      <c r="C18" s="64" t="s">
        <v>165</v>
      </c>
      <c r="D18" s="64" t="s">
        <v>166</v>
      </c>
      <c r="E18" s="69">
        <f>E19+E23</f>
        <v>0</v>
      </c>
      <c r="F18" s="69">
        <f>F19+F23</f>
        <v>86800000</v>
      </c>
      <c r="G18" s="69">
        <f>G19+G23</f>
        <v>64800000</v>
      </c>
    </row>
    <row r="19" spans="1:7" s="58" customFormat="1" ht="15.75">
      <c r="A19" s="60" t="s">
        <v>167</v>
      </c>
      <c r="B19" s="66" t="s">
        <v>168</v>
      </c>
      <c r="C19" s="60" t="s">
        <v>169</v>
      </c>
      <c r="D19" s="163" t="s">
        <v>170</v>
      </c>
      <c r="E19" s="60">
        <f>-E20+-E21+-E22</f>
        <v>-2972305970.04</v>
      </c>
      <c r="F19" s="60">
        <f>-F20+-F21+-F22</f>
        <v>-2727644298.64</v>
      </c>
      <c r="G19" s="60">
        <f>-G20+-G21+-G22</f>
        <v>-2835974628.2</v>
      </c>
    </row>
    <row r="20" spans="1:7" ht="31.5">
      <c r="A20" s="67" t="s">
        <v>171</v>
      </c>
      <c r="B20" s="70" t="s">
        <v>172</v>
      </c>
      <c r="C20" s="67" t="s">
        <v>173</v>
      </c>
      <c r="D20" s="163"/>
      <c r="E20" s="67">
        <v>2697255970.04</v>
      </c>
      <c r="F20" s="67">
        <v>2483344298.64</v>
      </c>
      <c r="G20" s="67">
        <v>2584424628.2</v>
      </c>
    </row>
    <row r="21" spans="1:7" ht="47.25">
      <c r="A21" s="67" t="s">
        <v>174</v>
      </c>
      <c r="B21" s="70" t="s">
        <v>128</v>
      </c>
      <c r="C21" s="67" t="s">
        <v>129</v>
      </c>
      <c r="D21" s="163"/>
      <c r="E21" s="67">
        <f>E7</f>
        <v>275050000</v>
      </c>
      <c r="F21" s="67">
        <f>F7</f>
        <v>244300000</v>
      </c>
      <c r="G21" s="67">
        <f>G7</f>
        <v>251550000</v>
      </c>
    </row>
    <row r="22" spans="1:7" ht="63">
      <c r="A22" s="67" t="s">
        <v>175</v>
      </c>
      <c r="B22" s="70" t="s">
        <v>151</v>
      </c>
      <c r="C22" s="67" t="s">
        <v>152</v>
      </c>
      <c r="D22" s="163"/>
      <c r="E22" s="67">
        <f>E14</f>
        <v>0</v>
      </c>
      <c r="F22" s="67">
        <f>F14</f>
        <v>0</v>
      </c>
      <c r="G22" s="67">
        <f>G14</f>
        <v>0</v>
      </c>
    </row>
    <row r="23" spans="1:7" s="58" customFormat="1" ht="15.75">
      <c r="A23" s="60" t="s">
        <v>176</v>
      </c>
      <c r="B23" s="66" t="s">
        <v>177</v>
      </c>
      <c r="C23" s="60" t="s">
        <v>178</v>
      </c>
      <c r="D23" s="163" t="s">
        <v>179</v>
      </c>
      <c r="E23" s="60">
        <f>E24+E25+E26</f>
        <v>2972305970.04</v>
      </c>
      <c r="F23" s="60">
        <f>F24+F25+F26</f>
        <v>2814444298.64</v>
      </c>
      <c r="G23" s="60">
        <f>G24+G25+G26</f>
        <v>2900774628.2</v>
      </c>
    </row>
    <row r="24" spans="1:7" ht="31.5">
      <c r="A24" s="67" t="s">
        <v>180</v>
      </c>
      <c r="B24" s="70" t="s">
        <v>181</v>
      </c>
      <c r="C24" s="67" t="s">
        <v>182</v>
      </c>
      <c r="D24" s="163"/>
      <c r="E24" s="67">
        <v>2735255970.04</v>
      </c>
      <c r="F24" s="67">
        <v>2570144298.64</v>
      </c>
      <c r="G24" s="67">
        <v>2649224628.2</v>
      </c>
    </row>
    <row r="25" spans="1:7" ht="47.25">
      <c r="A25" s="67" t="s">
        <v>183</v>
      </c>
      <c r="B25" s="70" t="s">
        <v>141</v>
      </c>
      <c r="C25" s="67" t="s">
        <v>142</v>
      </c>
      <c r="D25" s="163"/>
      <c r="E25" s="67">
        <f>E11</f>
        <v>199800000</v>
      </c>
      <c r="F25" s="67">
        <f>F11</f>
        <v>237050000</v>
      </c>
      <c r="G25" s="67">
        <f>G11</f>
        <v>244300000</v>
      </c>
    </row>
    <row r="26" spans="1:7" ht="47.25">
      <c r="A26" s="67" t="s">
        <v>184</v>
      </c>
      <c r="B26" s="70" t="s">
        <v>158</v>
      </c>
      <c r="C26" s="67" t="s">
        <v>159</v>
      </c>
      <c r="D26" s="163"/>
      <c r="E26" s="67">
        <f>E16</f>
        <v>37250000</v>
      </c>
      <c r="F26" s="67">
        <f>F16</f>
        <v>7250000</v>
      </c>
      <c r="G26" s="67">
        <f>G16</f>
        <v>7250000</v>
      </c>
    </row>
    <row r="27" spans="1:7" s="58" customFormat="1" ht="15.75">
      <c r="A27" s="157" t="s">
        <v>185</v>
      </c>
      <c r="B27" s="158"/>
      <c r="C27" s="158"/>
      <c r="D27" s="159"/>
      <c r="E27" s="65">
        <f>E6+E13+E18</f>
        <v>38000000</v>
      </c>
      <c r="F27" s="65">
        <f>F6+F13+F18</f>
        <v>86800000</v>
      </c>
      <c r="G27" s="65">
        <f>G6+G13+G18</f>
        <v>64800000</v>
      </c>
    </row>
  </sheetData>
  <sheetProtection/>
  <mergeCells count="14">
    <mergeCell ref="A27:D27"/>
    <mergeCell ref="D7:D10"/>
    <mergeCell ref="D11:D12"/>
    <mergeCell ref="D14:D15"/>
    <mergeCell ref="D16:D17"/>
    <mergeCell ref="D19:D22"/>
    <mergeCell ref="D23:D26"/>
    <mergeCell ref="F1:G1"/>
    <mergeCell ref="A2:G2"/>
    <mergeCell ref="A4:A5"/>
    <mergeCell ref="B4:B5"/>
    <mergeCell ref="C4:C5"/>
    <mergeCell ref="D4:D5"/>
    <mergeCell ref="E4:G4"/>
  </mergeCells>
  <printOptions/>
  <pageMargins left="0.7086614173228347" right="0.31496062992125984" top="0.5511811023622047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2019-11-14T13:49:06Z</cp:lastPrinted>
  <dcterms:created xsi:type="dcterms:W3CDTF">1996-10-08T23:32:33Z</dcterms:created>
  <dcterms:modified xsi:type="dcterms:W3CDTF">2019-11-19T14:41:15Z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